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VTA\Financije i računovodstvo\"/>
    </mc:Choice>
  </mc:AlternateContent>
  <xr:revisionPtr revIDLastSave="0" documentId="13_ncr:1_{A1B6A5FF-F0FA-4A76-B622-67AD0F5A29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0" i="7" l="1"/>
  <c r="I20" i="7"/>
  <c r="I18" i="7"/>
  <c r="I17" i="7"/>
  <c r="I16" i="7"/>
  <c r="H20" i="7"/>
  <c r="H18" i="7"/>
  <c r="H17" i="7"/>
  <c r="H16" i="7"/>
  <c r="I11" i="7"/>
  <c r="I10" i="7"/>
  <c r="H11" i="7"/>
  <c r="H10" i="7"/>
  <c r="H58" i="7"/>
  <c r="I58" i="7"/>
  <c r="H57" i="7"/>
  <c r="I57" i="7"/>
  <c r="G58" i="7"/>
  <c r="G57" i="7"/>
  <c r="G20" i="7"/>
  <c r="G18" i="7"/>
  <c r="G17" i="7"/>
  <c r="G16" i="7"/>
  <c r="G11" i="7"/>
  <c r="G10" i="7"/>
  <c r="F14" i="5"/>
  <c r="F12" i="5"/>
  <c r="E14" i="5"/>
  <c r="E12" i="5"/>
  <c r="D14" i="5"/>
  <c r="D12" i="5"/>
  <c r="I29" i="3"/>
  <c r="I30" i="3"/>
  <c r="I32" i="3"/>
  <c r="I36" i="3"/>
  <c r="I37" i="3"/>
  <c r="I39" i="3"/>
  <c r="I42" i="3"/>
  <c r="I46" i="3"/>
  <c r="H46" i="3"/>
  <c r="H42" i="3"/>
  <c r="H39" i="3"/>
  <c r="H37" i="3"/>
  <c r="H36" i="3"/>
  <c r="H32" i="3"/>
  <c r="H30" i="3"/>
  <c r="H29" i="3"/>
  <c r="H19" i="3"/>
  <c r="H17" i="3"/>
  <c r="H15" i="3"/>
  <c r="H14" i="3" s="1"/>
  <c r="H12" i="3"/>
  <c r="G46" i="3"/>
  <c r="G42" i="3"/>
  <c r="G39" i="3"/>
  <c r="G37" i="3"/>
  <c r="G36" i="3"/>
  <c r="G32" i="3"/>
  <c r="G30" i="3"/>
  <c r="G29" i="3"/>
  <c r="G19" i="3"/>
  <c r="G17" i="3"/>
  <c r="G15" i="3"/>
  <c r="G14" i="3" s="1"/>
  <c r="I14" i="3"/>
  <c r="G12" i="3"/>
  <c r="N14" i="1"/>
  <c r="N13" i="1"/>
  <c r="N11" i="1"/>
  <c r="N10" i="1"/>
  <c r="L14" i="1"/>
  <c r="L13" i="1"/>
  <c r="L11" i="1"/>
  <c r="L10" i="1"/>
  <c r="J14" i="1"/>
  <c r="J13" i="1"/>
  <c r="J11" i="1"/>
  <c r="J9" i="1" s="1"/>
  <c r="J10" i="1"/>
  <c r="K15" i="1"/>
  <c r="M15" i="1"/>
  <c r="O15" i="1"/>
  <c r="K12" i="1"/>
  <c r="M12" i="1"/>
  <c r="O12" i="1"/>
  <c r="K9" i="1"/>
  <c r="M9" i="1"/>
  <c r="O9" i="1"/>
  <c r="H27" i="1"/>
  <c r="F27" i="1"/>
  <c r="H14" i="1"/>
  <c r="H13" i="1"/>
  <c r="H11" i="1"/>
  <c r="H10" i="1"/>
  <c r="F14" i="1"/>
  <c r="F13" i="1"/>
  <c r="F11" i="1"/>
  <c r="F10" i="1"/>
  <c r="N12" i="1" l="1"/>
  <c r="N9" i="1"/>
  <c r="L12" i="1"/>
  <c r="L9" i="1"/>
  <c r="J12" i="1"/>
  <c r="J15" i="1" s="1"/>
  <c r="N15" i="1" l="1"/>
  <c r="L15" i="1"/>
  <c r="F58" i="7"/>
  <c r="F57" i="7"/>
  <c r="F56" i="7" s="1"/>
  <c r="F55" i="7" s="1"/>
  <c r="F54" i="7" s="1"/>
  <c r="F53" i="7" s="1"/>
  <c r="F42" i="7"/>
  <c r="F41" i="7"/>
  <c r="F38" i="7"/>
  <c r="F35" i="7"/>
  <c r="F33" i="7"/>
  <c r="F32" i="7"/>
  <c r="F31" i="7" s="1"/>
  <c r="F24" i="7"/>
  <c r="F23" i="7"/>
  <c r="F20" i="7"/>
  <c r="F19" i="7" s="1"/>
  <c r="F18" i="7"/>
  <c r="F17" i="7"/>
  <c r="F11" i="7"/>
  <c r="F9" i="7" s="1"/>
  <c r="F10" i="7"/>
  <c r="C14" i="5"/>
  <c r="C12" i="5"/>
  <c r="F47" i="3"/>
  <c r="F46" i="3"/>
  <c r="F42" i="3"/>
  <c r="F40" i="3"/>
  <c r="F39" i="3"/>
  <c r="F38" i="3"/>
  <c r="F37" i="3"/>
  <c r="F35" i="3" s="1"/>
  <c r="F36" i="3"/>
  <c r="F34" i="3"/>
  <c r="F33" i="3"/>
  <c r="F32" i="3"/>
  <c r="F31" i="3"/>
  <c r="F30" i="3"/>
  <c r="F29" i="3"/>
  <c r="F19" i="3"/>
  <c r="F17" i="3"/>
  <c r="F15" i="3"/>
  <c r="F13" i="3"/>
  <c r="F12" i="3"/>
  <c r="F11" i="3"/>
  <c r="I9" i="1"/>
  <c r="F26" i="7"/>
  <c r="E36" i="7"/>
  <c r="E37" i="7"/>
  <c r="I37" i="7"/>
  <c r="I36" i="7" s="1"/>
  <c r="H37" i="7"/>
  <c r="H36" i="7" s="1"/>
  <c r="G37" i="7"/>
  <c r="G36" i="7" s="1"/>
  <c r="F37" i="7"/>
  <c r="F36" i="7" s="1"/>
  <c r="F62" i="7"/>
  <c r="F61" i="7" s="1"/>
  <c r="F60" i="7" s="1"/>
  <c r="F59" i="7" s="1"/>
  <c r="G62" i="7"/>
  <c r="G61" i="7" s="1"/>
  <c r="G60" i="7" s="1"/>
  <c r="G59" i="7" s="1"/>
  <c r="H62" i="7"/>
  <c r="H61" i="7" s="1"/>
  <c r="H60" i="7" s="1"/>
  <c r="H59" i="7" s="1"/>
  <c r="I62" i="7"/>
  <c r="I61" i="7" s="1"/>
  <c r="I59" i="7" s="1"/>
  <c r="G56" i="7"/>
  <c r="G55" i="7" s="1"/>
  <c r="G54" i="7" s="1"/>
  <c r="G53" i="7" s="1"/>
  <c r="H56" i="7"/>
  <c r="H55" i="7" s="1"/>
  <c r="H54" i="7" s="1"/>
  <c r="H53" i="7" s="1"/>
  <c r="I56" i="7"/>
  <c r="I55" i="7" s="1"/>
  <c r="I54" i="7" s="1"/>
  <c r="I53" i="7" s="1"/>
  <c r="F51" i="7"/>
  <c r="F50" i="7" s="1"/>
  <c r="G51" i="7"/>
  <c r="G50" i="7" s="1"/>
  <c r="H51" i="7"/>
  <c r="H50" i="7" s="1"/>
  <c r="I51" i="7"/>
  <c r="I50" i="7" s="1"/>
  <c r="F48" i="7"/>
  <c r="F47" i="7" s="1"/>
  <c r="G48" i="7"/>
  <c r="G47" i="7" s="1"/>
  <c r="H48" i="7"/>
  <c r="H47" i="7" s="1"/>
  <c r="I48" i="7"/>
  <c r="I47" i="7" s="1"/>
  <c r="F43" i="7"/>
  <c r="G43" i="7"/>
  <c r="H43" i="7"/>
  <c r="I43" i="7"/>
  <c r="F40" i="7"/>
  <c r="G40" i="7"/>
  <c r="H40" i="7"/>
  <c r="I40" i="7"/>
  <c r="F34" i="7"/>
  <c r="G34" i="7"/>
  <c r="H34" i="7"/>
  <c r="I34" i="7"/>
  <c r="G31" i="7"/>
  <c r="H31" i="7"/>
  <c r="I31" i="7"/>
  <c r="F22" i="7"/>
  <c r="F21" i="7" s="1"/>
  <c r="G22" i="7"/>
  <c r="G21" i="7" s="1"/>
  <c r="H22" i="7"/>
  <c r="H21" i="7" s="1"/>
  <c r="I22" i="7"/>
  <c r="I21" i="7" s="1"/>
  <c r="G19" i="7"/>
  <c r="H19" i="7"/>
  <c r="I19" i="7"/>
  <c r="F15" i="7"/>
  <c r="G15" i="7"/>
  <c r="H15" i="7"/>
  <c r="I15" i="7"/>
  <c r="F12" i="7"/>
  <c r="G12" i="7"/>
  <c r="H12" i="7"/>
  <c r="I12" i="7"/>
  <c r="G9" i="7"/>
  <c r="H9" i="7"/>
  <c r="I9" i="7"/>
  <c r="F28" i="3"/>
  <c r="F44" i="3"/>
  <c r="F43" i="3" s="1"/>
  <c r="G44" i="3"/>
  <c r="G43" i="3" s="1"/>
  <c r="H44" i="3"/>
  <c r="H43" i="3" s="1"/>
  <c r="I44" i="3"/>
  <c r="I43" i="3" s="1"/>
  <c r="E44" i="3"/>
  <c r="F18" i="3"/>
  <c r="G18" i="3"/>
  <c r="H18" i="3"/>
  <c r="I18" i="3"/>
  <c r="F16" i="3"/>
  <c r="G16" i="3"/>
  <c r="H16" i="3"/>
  <c r="I16" i="3"/>
  <c r="H12" i="1"/>
  <c r="H9" i="1"/>
  <c r="E64" i="7"/>
  <c r="E63" i="7"/>
  <c r="E56" i="7"/>
  <c r="E55" i="7" s="1"/>
  <c r="E54" i="7" s="1"/>
  <c r="E53" i="7" s="1"/>
  <c r="E52" i="7"/>
  <c r="E51" i="7" s="1"/>
  <c r="E50" i="7" s="1"/>
  <c r="E49" i="7"/>
  <c r="E48" i="7" s="1"/>
  <c r="E47" i="7" s="1"/>
  <c r="E44" i="7"/>
  <c r="E43" i="7" s="1"/>
  <c r="E42" i="7"/>
  <c r="E41" i="7"/>
  <c r="E35" i="7"/>
  <c r="E33" i="7"/>
  <c r="E32" i="7"/>
  <c r="E27" i="7"/>
  <c r="E24" i="7"/>
  <c r="E23" i="7"/>
  <c r="E22" i="7" s="1"/>
  <c r="E21" i="7" s="1"/>
  <c r="E20" i="7"/>
  <c r="E19" i="7" s="1"/>
  <c r="E18" i="7"/>
  <c r="E17" i="7"/>
  <c r="E16" i="7"/>
  <c r="E13" i="7"/>
  <c r="E12" i="7" s="1"/>
  <c r="E11" i="7"/>
  <c r="E10" i="7"/>
  <c r="B12" i="5"/>
  <c r="B14" i="5"/>
  <c r="B13" i="5" s="1"/>
  <c r="B11" i="5"/>
  <c r="E49" i="3"/>
  <c r="E48" i="3"/>
  <c r="E46" i="3"/>
  <c r="E45" i="3"/>
  <c r="E42" i="3"/>
  <c r="E40" i="3"/>
  <c r="E39" i="3"/>
  <c r="E38" i="3"/>
  <c r="E37" i="3"/>
  <c r="E36" i="3"/>
  <c r="E35" i="3" s="1"/>
  <c r="E34" i="3"/>
  <c r="E33" i="3"/>
  <c r="E32" i="3"/>
  <c r="E31" i="3"/>
  <c r="E30" i="3"/>
  <c r="E29" i="3"/>
  <c r="E22" i="3"/>
  <c r="E19" i="3"/>
  <c r="E17" i="3"/>
  <c r="E16" i="3" s="1"/>
  <c r="E15" i="3"/>
  <c r="E14" i="3"/>
  <c r="E13" i="3"/>
  <c r="E12" i="3"/>
  <c r="G9" i="1"/>
  <c r="F12" i="1"/>
  <c r="F9" i="1"/>
  <c r="E34" i="7"/>
  <c r="G28" i="3"/>
  <c r="H28" i="3"/>
  <c r="I28" i="3"/>
  <c r="G35" i="3"/>
  <c r="H35" i="3"/>
  <c r="I35" i="3"/>
  <c r="F41" i="3"/>
  <c r="G41" i="3"/>
  <c r="H41" i="3"/>
  <c r="I41" i="3"/>
  <c r="E41" i="3"/>
  <c r="F21" i="3"/>
  <c r="F20" i="3" s="1"/>
  <c r="G21" i="3"/>
  <c r="G20" i="3" s="1"/>
  <c r="H21" i="3"/>
  <c r="H20" i="3" s="1"/>
  <c r="I21" i="3"/>
  <c r="I20" i="3" s="1"/>
  <c r="E21" i="3"/>
  <c r="E20" i="3" s="1"/>
  <c r="E18" i="3"/>
  <c r="F14" i="3"/>
  <c r="G11" i="3"/>
  <c r="H11" i="3"/>
  <c r="I11" i="3"/>
  <c r="C13" i="5"/>
  <c r="D13" i="5"/>
  <c r="E13" i="5"/>
  <c r="F13" i="5"/>
  <c r="C11" i="5"/>
  <c r="D11" i="5"/>
  <c r="E11" i="5"/>
  <c r="F11" i="5"/>
  <c r="E43" i="3" l="1"/>
  <c r="D10" i="5"/>
  <c r="H15" i="1"/>
  <c r="H28" i="1" s="1"/>
  <c r="I12" i="1"/>
  <c r="I15" i="1" s="1"/>
  <c r="G12" i="1"/>
  <c r="G15" i="1" s="1"/>
  <c r="G28" i="1" s="1"/>
  <c r="G31" i="1" s="1"/>
  <c r="F15" i="1"/>
  <c r="F10" i="5"/>
  <c r="I27" i="3"/>
  <c r="H27" i="3"/>
  <c r="E9" i="7"/>
  <c r="I39" i="7"/>
  <c r="I30" i="7"/>
  <c r="I14" i="7"/>
  <c r="G8" i="7"/>
  <c r="H39" i="7"/>
  <c r="E62" i="7"/>
  <c r="E61" i="7" s="1"/>
  <c r="E60" i="7" s="1"/>
  <c r="E59" i="7" s="1"/>
  <c r="E31" i="7"/>
  <c r="E30" i="7" s="1"/>
  <c r="H8" i="7"/>
  <c r="I8" i="7"/>
  <c r="E40" i="7"/>
  <c r="E39" i="7" s="1"/>
  <c r="H30" i="7"/>
  <c r="E15" i="7"/>
  <c r="E14" i="7" s="1"/>
  <c r="G39" i="7"/>
  <c r="F8" i="7"/>
  <c r="I46" i="7"/>
  <c r="I45" i="7" s="1"/>
  <c r="H46" i="7"/>
  <c r="H45" i="7" s="1"/>
  <c r="G46" i="7"/>
  <c r="G45" i="7" s="1"/>
  <c r="F46" i="7"/>
  <c r="F45" i="7" s="1"/>
  <c r="F39" i="7"/>
  <c r="G30" i="7"/>
  <c r="F30" i="7"/>
  <c r="H14" i="7"/>
  <c r="G14" i="7"/>
  <c r="F14" i="7"/>
  <c r="F27" i="3"/>
  <c r="B10" i="5"/>
  <c r="E28" i="3"/>
  <c r="E27" i="3" s="1"/>
  <c r="E11" i="3"/>
  <c r="E10" i="3" s="1"/>
  <c r="E46" i="7"/>
  <c r="E45" i="7" s="1"/>
  <c r="E8" i="7"/>
  <c r="G27" i="3"/>
  <c r="I10" i="3"/>
  <c r="H10" i="3"/>
  <c r="G10" i="3"/>
  <c r="F10" i="3"/>
  <c r="E10" i="5"/>
  <c r="C10" i="5"/>
  <c r="F28" i="1" l="1"/>
  <c r="I29" i="7"/>
  <c r="I28" i="7" s="1"/>
  <c r="I26" i="7" s="1"/>
  <c r="I25" i="7" s="1"/>
  <c r="I7" i="7" s="1"/>
  <c r="I6" i="7" s="1"/>
  <c r="H29" i="7"/>
  <c r="H28" i="7" s="1"/>
  <c r="H26" i="7" s="1"/>
  <c r="H25" i="7" s="1"/>
  <c r="H7" i="7" s="1"/>
  <c r="H6" i="7" s="1"/>
  <c r="G29" i="7"/>
  <c r="G28" i="7" s="1"/>
  <c r="G26" i="7" s="1"/>
  <c r="G25" i="7" s="1"/>
  <c r="G7" i="7" s="1"/>
  <c r="G6" i="7" s="1"/>
  <c r="F29" i="7"/>
  <c r="F28" i="7" s="1"/>
  <c r="F25" i="7" s="1"/>
  <c r="F7" i="7" s="1"/>
  <c r="F6" i="7" s="1"/>
  <c r="E29" i="7"/>
  <c r="E28" i="7" s="1"/>
  <c r="E26" i="7" s="1"/>
  <c r="E25" i="7" s="1"/>
  <c r="E7" i="7" s="1"/>
  <c r="E6" i="7" s="1"/>
  <c r="F31" i="1" l="1"/>
</calcChain>
</file>

<file path=xl/sharedStrings.xml><?xml version="1.0" encoding="utf-8"?>
<sst xmlns="http://schemas.openxmlformats.org/spreadsheetml/2006/main" count="277" uniqueCount="120">
  <si>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</si>
  <si>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</si>
  <si>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</si>
  <si>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</si>
  <si>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</si>
  <si>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</si>
  <si>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</si>
  <si>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</si>
  <si>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</si>
  <si>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</si>
  <si>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</si>
  <si>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</si>
  <si>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</si>
  <si>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</si>
  <si>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</si>
  <si>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</si>
  <si>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</si>
  <si>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</si>
  <si>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</si>
  <si>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</si>
  <si>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</si>
  <si>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</si>
  <si>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</si>
  <si>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</si>
  <si>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</si>
  <si>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</si>
  <si>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</si>
  <si>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</si>
  <si>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</si>
  <si>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</si>
  <si>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</si>
  <si>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013 Opće usluge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</si>
  <si>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</si>
  <si>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</si>
  <si>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</si>
  <si>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</si>
  <si>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</si>
  <si>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</si>
  <si>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</si>
  <si>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</si>
  <si>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</si>
  <si>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</si>
  <si>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</si>
  <si>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</si>
  <si>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</si>
  <si>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</si>
  <si>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</si>
  <si>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</si>
  <si>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</si>
  <si>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</si>
  <si>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</si>
  <si>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</si>
  <si>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</si>
  <si>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</si>
  <si>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</si>
  <si>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</si>
  <si>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</si>
  <si>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</si>
  <si>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</si>
  <si>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</si>
  <si>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</si>
  <si>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</si>
  <si>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-</t>
  </si>
  <si>
    <t>Prihodi od imovine</t>
  </si>
  <si>
    <t>Prihodi od prodaje proizvoda i robe te pruženih usluga, prihodi od donacija te povrati po protestiranim jamstvima</t>
  </si>
  <si>
    <t>Financijski rashodi</t>
  </si>
  <si>
    <t>06 Usluge unapređenja stanovanja i zajednice</t>
  </si>
  <si>
    <t>062 Razvoj zajednice</t>
  </si>
  <si>
    <t>4.5.</t>
  </si>
  <si>
    <t>Pomoći za proračunske korisnike</t>
  </si>
  <si>
    <t>4.7.</t>
  </si>
  <si>
    <t>Pomoći iz međ. Organizacija, inst. i tijela EU za PK</t>
  </si>
  <si>
    <t>2.2.</t>
  </si>
  <si>
    <t>Vlastiti prihodi proračunskog korisnika</t>
  </si>
  <si>
    <t>1.1.</t>
  </si>
  <si>
    <t>Prihodi iz proračuna</t>
  </si>
  <si>
    <t>6.3.</t>
  </si>
  <si>
    <t>Prih. od prodaje ili zamjene nefin.imovine prorač.korisnika</t>
  </si>
  <si>
    <t xml:space="preserve">2.3. </t>
  </si>
  <si>
    <t>Vlastiti prihodi P.K. - VIŠAK</t>
  </si>
  <si>
    <t xml:space="preserve">4.6. </t>
  </si>
  <si>
    <t>Pomoći za P.K. - VIŠAK</t>
  </si>
  <si>
    <t xml:space="preserve">4.5. </t>
  </si>
  <si>
    <t>TEKUĆI RASHODI RAZVOJNE AGENCIJE VTA</t>
  </si>
  <si>
    <t>Izvor financiranja 1.1.</t>
  </si>
  <si>
    <t>Izvor financiranja 2.2.</t>
  </si>
  <si>
    <t>Usluge platnog prometa</t>
  </si>
  <si>
    <t>Izvor financiranja 2.3.</t>
  </si>
  <si>
    <t>Izvor financiranja 6.3.</t>
  </si>
  <si>
    <t>Izvor financiranja 4.7.</t>
  </si>
  <si>
    <t>ERASMUS +</t>
  </si>
  <si>
    <t>STORIE</t>
  </si>
  <si>
    <t>Izvor financiranja 4.6.</t>
  </si>
  <si>
    <t>POMAGAČI U NASTAVI</t>
  </si>
  <si>
    <t>Izvor financiranja 4.5.</t>
  </si>
  <si>
    <t>ZAJEDNO ZA MLADE KROZ JOB KLUB</t>
  </si>
  <si>
    <t>LOKALNE INICIJATIVE ZA POTICANJE ZAPOŠLJAVANJA</t>
  </si>
  <si>
    <t>HRK</t>
  </si>
  <si>
    <t>EUR</t>
  </si>
  <si>
    <t>FINANCIJSKI PLAN RAZVOJNE AGENCIJE VTA
ZA 2023. I PROJEKCIJA ZA 2024. I 2025. GODINU</t>
  </si>
  <si>
    <t>FINANCIJSKI PLAN RAZVOJNE AGENCIJE VTA 
ZA 2023. I PROJEKCIJA ZA 2024. I 2025. GODINU</t>
  </si>
  <si>
    <t>KORAK U ŽIVOT JEDN. MOGUĆNOSTI</t>
  </si>
  <si>
    <t>PROGRAM A06 1000</t>
  </si>
  <si>
    <t>OPĆI RAZVOJ GOSPODARSTVA</t>
  </si>
  <si>
    <t>Aktivnost A06 1000A100004</t>
  </si>
  <si>
    <t>PROGRAM A07 1007</t>
  </si>
  <si>
    <t xml:space="preserve">INTERREG V-A PROGRAM SURADNJE MAĐARSKA-HRVATSKA 2014.-2020. </t>
  </si>
  <si>
    <t>Tekući projekt A07 1007T100001</t>
  </si>
  <si>
    <t>PREKOGRANIČNA SURADNJA I INTEGRACIJA UČENIKA S TEŠKOĆAMA-2M2C</t>
  </si>
  <si>
    <t>PROGRAM A07 1008</t>
  </si>
  <si>
    <t>Tekući projekt A07 1008T100002</t>
  </si>
  <si>
    <t>PROGRAM A08 1009</t>
  </si>
  <si>
    <t>Tekući projekt A08 1009T100004</t>
  </si>
  <si>
    <t>PROGRAM A08 1013</t>
  </si>
  <si>
    <t>Tekući projekt A08 1013T100001</t>
  </si>
  <si>
    <t>KLASA: 400-02/22-01/01</t>
  </si>
  <si>
    <t>URBROJ: 2189-85-22-1</t>
  </si>
  <si>
    <t>Virovitica, 29. rujna 2022. godine</t>
  </si>
  <si>
    <t>Ravnateljica:</t>
  </si>
  <si>
    <t>Tihana Harmund, dipl.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</si>
</sst>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2" borderId="4" xfId="0" applyNumberFormat="1" applyFont="1" applyFill="1" applyBorder="1" applyAlignment="1">
      <alignment horizontal="right"/>
    </xf>
    <xf numFmtId="0" fontId="1" fillId="0" borderId="0" xfId="0" applyFont="1"/>
    <xf numFmtId="3" fontId="19" fillId="2" borderId="4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0" fontId="20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3" fontId="19" fillId="2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wrapText="1"/>
    </xf>
    <xf numFmtId="3" fontId="1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wrapText="1"/>
    </xf>
    <xf numFmtId="3" fontId="0" fillId="0" borderId="0" xfId="0" applyNumberFormat="1"/>
    <xf numFmtId="3" fontId="3" fillId="0" borderId="0" xfId="0" applyNumberFormat="1" applyFont="1" applyAlignment="1">
      <alignment vertical="center" wrapText="1"/>
    </xf>
    <xf numFmtId="3" fontId="18" fillId="0" borderId="5" xfId="0" applyNumberFormat="1" applyFont="1" applyBorder="1" applyAlignment="1">
      <alignment horizontal="right" vertical="center"/>
    </xf>
    <xf numFmtId="3" fontId="3" fillId="0" borderId="0" xfId="0" applyNumberFormat="1" applyFont="1"/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workbookViewId="0">
      <selection activeCell="P17" sqref="P17"/>
    </sheetView>
  </sheetViews>
  <sheetFormatPr defaultRowHeight="15" x14ac:dyDescent="0.25"/>
  <cols>
    <col min="5" max="5" width="22.5703125" customWidth="1"/>
    <col min="6" max="15" width="10.42578125" style="62" customWidth="1"/>
  </cols>
  <sheetData>
    <row r="1" spans="1:15" ht="42" customHeight="1" x14ac:dyDescent="0.25">
      <c r="A1" s="73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8" customHeight="1" x14ac:dyDescent="0.25">
      <c r="A2" s="3"/>
      <c r="B2" s="3"/>
      <c r="C2" s="3"/>
      <c r="D2" s="3"/>
      <c r="E2" s="3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5.75" x14ac:dyDescent="0.25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89"/>
      <c r="N3" s="89"/>
      <c r="O3" s="89"/>
    </row>
    <row r="4" spans="1:15" ht="18" x14ac:dyDescent="0.25">
      <c r="A4" s="3"/>
      <c r="B4" s="3"/>
      <c r="C4" s="3"/>
      <c r="D4" s="3"/>
      <c r="E4" s="3"/>
      <c r="F4" s="54"/>
      <c r="G4" s="54"/>
      <c r="H4" s="54"/>
      <c r="I4" s="54"/>
      <c r="J4" s="54"/>
      <c r="K4" s="54"/>
      <c r="L4" s="54"/>
      <c r="M4" s="63"/>
      <c r="N4" s="63"/>
      <c r="O4" s="63"/>
    </row>
    <row r="5" spans="1:15" ht="18" customHeight="1" x14ac:dyDescent="0.25">
      <c r="A5" s="73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8" customHeight="1" x14ac:dyDescent="0.25">
      <c r="A6" s="41"/>
      <c r="B6" s="42"/>
      <c r="C6" s="42"/>
      <c r="D6" s="42"/>
      <c r="E6" s="42"/>
      <c r="F6" s="55"/>
      <c r="G6" s="55"/>
      <c r="H6" s="55"/>
      <c r="I6" s="55"/>
      <c r="J6" s="55"/>
      <c r="K6" s="55"/>
      <c r="L6" s="55"/>
      <c r="M6" s="55"/>
      <c r="N6" s="55"/>
      <c r="O6" s="64" t="s">
        <v>49</v>
      </c>
    </row>
    <row r="7" spans="1:15" ht="18" x14ac:dyDescent="0.25">
      <c r="A7" s="1"/>
      <c r="B7" s="2"/>
      <c r="C7" s="2"/>
      <c r="D7" s="2"/>
      <c r="E7" s="5"/>
      <c r="F7" s="56" t="s">
        <v>98</v>
      </c>
      <c r="G7" s="56" t="s">
        <v>97</v>
      </c>
      <c r="H7" s="56" t="s">
        <v>98</v>
      </c>
      <c r="I7" s="56" t="s">
        <v>97</v>
      </c>
      <c r="J7" s="56" t="s">
        <v>98</v>
      </c>
      <c r="K7" s="56" t="s">
        <v>97</v>
      </c>
      <c r="L7" s="56" t="s">
        <v>98</v>
      </c>
      <c r="M7" s="56" t="s">
        <v>97</v>
      </c>
      <c r="N7" s="56" t="s">
        <v>98</v>
      </c>
      <c r="O7" s="56" t="s">
        <v>97</v>
      </c>
    </row>
    <row r="8" spans="1:15" ht="25.5" customHeight="1" x14ac:dyDescent="0.25">
      <c r="A8" s="27"/>
      <c r="B8" s="28"/>
      <c r="C8" s="28"/>
      <c r="D8" s="29"/>
      <c r="E8" s="30"/>
      <c r="F8" s="69" t="s">
        <v>46</v>
      </c>
      <c r="G8" s="70"/>
      <c r="H8" s="69" t="s">
        <v>47</v>
      </c>
      <c r="I8" s="70"/>
      <c r="J8" s="69" t="s">
        <v>52</v>
      </c>
      <c r="K8" s="70"/>
      <c r="L8" s="69" t="s">
        <v>53</v>
      </c>
      <c r="M8" s="70"/>
      <c r="N8" s="69" t="s">
        <v>54</v>
      </c>
      <c r="O8" s="70"/>
    </row>
    <row r="9" spans="1:15" x14ac:dyDescent="0.25">
      <c r="A9" s="90" t="s">
        <v>0</v>
      </c>
      <c r="B9" s="86"/>
      <c r="C9" s="86"/>
      <c r="D9" s="86"/>
      <c r="E9" s="91"/>
      <c r="F9" s="31">
        <f>SUM(F10:F11)</f>
        <v>370887.27984604152</v>
      </c>
      <c r="G9" s="31">
        <f t="shared" ref="G9:O9" si="0">SUM(G10:G11)</f>
        <v>2794450.21</v>
      </c>
      <c r="H9" s="31">
        <f t="shared" si="0"/>
        <v>441461.27812064503</v>
      </c>
      <c r="I9" s="31">
        <f t="shared" si="0"/>
        <v>3326190</v>
      </c>
      <c r="J9" s="31">
        <f t="shared" si="0"/>
        <v>513663.81312628574</v>
      </c>
      <c r="K9" s="31">
        <f t="shared" si="0"/>
        <v>3870200</v>
      </c>
      <c r="L9" s="31">
        <f t="shared" si="0"/>
        <v>485938.01844847033</v>
      </c>
      <c r="M9" s="31">
        <f t="shared" si="0"/>
        <v>3661300</v>
      </c>
      <c r="N9" s="31">
        <f t="shared" si="0"/>
        <v>485938.01844847033</v>
      </c>
      <c r="O9" s="31">
        <f t="shared" si="0"/>
        <v>3661300</v>
      </c>
    </row>
    <row r="10" spans="1:15" x14ac:dyDescent="0.25">
      <c r="A10" s="83" t="s">
        <v>1</v>
      </c>
      <c r="B10" s="76"/>
      <c r="C10" s="76"/>
      <c r="D10" s="76"/>
      <c r="E10" s="88"/>
      <c r="F10" s="32">
        <f>G10/7.5345</f>
        <v>363574.25310239563</v>
      </c>
      <c r="G10" s="32">
        <v>2739350.21</v>
      </c>
      <c r="H10" s="32">
        <f>I10/7.5345</f>
        <v>441461.27812064503</v>
      </c>
      <c r="I10" s="32">
        <v>3326190</v>
      </c>
      <c r="J10" s="32">
        <f>K10/7.5345</f>
        <v>513663.81312628574</v>
      </c>
      <c r="K10" s="32">
        <v>3870200</v>
      </c>
      <c r="L10" s="32">
        <f>M10/7.5345</f>
        <v>485938.01844847033</v>
      </c>
      <c r="M10" s="32">
        <v>3661300</v>
      </c>
      <c r="N10" s="32">
        <f>O10/7.5345</f>
        <v>485938.01844847033</v>
      </c>
      <c r="O10" s="32">
        <v>3661300</v>
      </c>
    </row>
    <row r="11" spans="1:15" x14ac:dyDescent="0.25">
      <c r="A11" s="87" t="s">
        <v>2</v>
      </c>
      <c r="B11" s="88"/>
      <c r="C11" s="88"/>
      <c r="D11" s="88"/>
      <c r="E11" s="88"/>
      <c r="F11" s="32">
        <f>G11/7.5345</f>
        <v>7313.0267436458953</v>
      </c>
      <c r="G11" s="32">
        <v>55100</v>
      </c>
      <c r="H11" s="32">
        <f>I11/7.5345</f>
        <v>0</v>
      </c>
      <c r="I11" s="32">
        <v>0</v>
      </c>
      <c r="J11" s="32">
        <f>K11/7.5345</f>
        <v>0</v>
      </c>
      <c r="K11" s="32">
        <v>0</v>
      </c>
      <c r="L11" s="32">
        <f>M11/7.5345</f>
        <v>0</v>
      </c>
      <c r="M11" s="32">
        <v>0</v>
      </c>
      <c r="N11" s="32">
        <f>O11/7.5345</f>
        <v>0</v>
      </c>
      <c r="O11" s="32">
        <v>0</v>
      </c>
    </row>
    <row r="12" spans="1:15" x14ac:dyDescent="0.25">
      <c r="A12" s="38" t="s">
        <v>3</v>
      </c>
      <c r="B12" s="39"/>
      <c r="C12" s="39"/>
      <c r="D12" s="39"/>
      <c r="E12" s="39"/>
      <c r="F12" s="31">
        <f>SUM(F13:F14)</f>
        <v>382409.51091645099</v>
      </c>
      <c r="G12" s="31">
        <f t="shared" ref="G12:O12" si="1">SUM(G13:G14)</f>
        <v>2881264.46</v>
      </c>
      <c r="H12" s="31">
        <f t="shared" si="1"/>
        <v>446238.23744110425</v>
      </c>
      <c r="I12" s="31">
        <f t="shared" si="1"/>
        <v>3362182</v>
      </c>
      <c r="J12" s="31">
        <f t="shared" si="1"/>
        <v>513663.81312628568</v>
      </c>
      <c r="K12" s="31">
        <f t="shared" si="1"/>
        <v>3870200</v>
      </c>
      <c r="L12" s="31">
        <f t="shared" si="1"/>
        <v>485938.01844847033</v>
      </c>
      <c r="M12" s="31">
        <f t="shared" si="1"/>
        <v>3661300</v>
      </c>
      <c r="N12" s="31">
        <f t="shared" si="1"/>
        <v>485938.01844847033</v>
      </c>
      <c r="O12" s="31">
        <f t="shared" si="1"/>
        <v>3661300</v>
      </c>
    </row>
    <row r="13" spans="1:15" x14ac:dyDescent="0.25">
      <c r="A13" s="75" t="s">
        <v>4</v>
      </c>
      <c r="B13" s="76"/>
      <c r="C13" s="76"/>
      <c r="D13" s="76"/>
      <c r="E13" s="76"/>
      <c r="F13" s="32">
        <f>G13/7.5345</f>
        <v>360928.86322914594</v>
      </c>
      <c r="G13" s="32">
        <v>2719418.52</v>
      </c>
      <c r="H13" s="32">
        <f>I13/7.5345</f>
        <v>445324.70635078638</v>
      </c>
      <c r="I13" s="32">
        <v>3355299</v>
      </c>
      <c r="J13" s="32">
        <f>K13/7.5345</f>
        <v>512071.13942531019</v>
      </c>
      <c r="K13" s="32">
        <v>3858200</v>
      </c>
      <c r="L13" s="32">
        <f>M13/7.5345</f>
        <v>484345.34474749485</v>
      </c>
      <c r="M13" s="32">
        <v>3649300</v>
      </c>
      <c r="N13" s="32">
        <f>O13/7.5345</f>
        <v>484345.34474749485</v>
      </c>
      <c r="O13" s="33">
        <v>3649300</v>
      </c>
    </row>
    <row r="14" spans="1:15" x14ac:dyDescent="0.25">
      <c r="A14" s="87" t="s">
        <v>5</v>
      </c>
      <c r="B14" s="88"/>
      <c r="C14" s="88"/>
      <c r="D14" s="88"/>
      <c r="E14" s="88"/>
      <c r="F14" s="32">
        <f>G14/7.5345</f>
        <v>21480.647687305063</v>
      </c>
      <c r="G14" s="32">
        <v>161845.94</v>
      </c>
      <c r="H14" s="32">
        <f>I14/7.5345</f>
        <v>913.53109031787108</v>
      </c>
      <c r="I14" s="32">
        <v>6883</v>
      </c>
      <c r="J14" s="32">
        <f>K14/7.5345</f>
        <v>1592.6737009755125</v>
      </c>
      <c r="K14" s="32">
        <v>12000</v>
      </c>
      <c r="L14" s="32">
        <f>M14/7.5345</f>
        <v>1592.6737009755125</v>
      </c>
      <c r="M14" s="32">
        <v>12000</v>
      </c>
      <c r="N14" s="32">
        <f>O14/7.5345</f>
        <v>1592.6737009755125</v>
      </c>
      <c r="O14" s="33">
        <v>12000</v>
      </c>
    </row>
    <row r="15" spans="1:15" x14ac:dyDescent="0.25">
      <c r="A15" s="85" t="s">
        <v>6</v>
      </c>
      <c r="B15" s="86"/>
      <c r="C15" s="86"/>
      <c r="D15" s="86"/>
      <c r="E15" s="86"/>
      <c r="F15" s="31">
        <f>F9-F12</f>
        <v>-11522.231070409471</v>
      </c>
      <c r="G15" s="31">
        <f t="shared" ref="G15:H15" si="2">G9-G12</f>
        <v>-86814.25</v>
      </c>
      <c r="H15" s="31">
        <f t="shared" si="2"/>
        <v>-4776.9593204592238</v>
      </c>
      <c r="I15" s="31">
        <f>I9-I12</f>
        <v>-35992</v>
      </c>
      <c r="J15" s="31">
        <f t="shared" ref="J15:O15" si="3">J9-J12</f>
        <v>0</v>
      </c>
      <c r="K15" s="31">
        <f t="shared" si="3"/>
        <v>0</v>
      </c>
      <c r="L15" s="31">
        <f t="shared" si="3"/>
        <v>0</v>
      </c>
      <c r="M15" s="31">
        <f t="shared" si="3"/>
        <v>0</v>
      </c>
      <c r="N15" s="31">
        <f t="shared" si="3"/>
        <v>0</v>
      </c>
      <c r="O15" s="31">
        <f t="shared" si="3"/>
        <v>0</v>
      </c>
    </row>
    <row r="16" spans="1:15" ht="18" x14ac:dyDescent="0.25">
      <c r="A16" s="3"/>
      <c r="B16" s="6"/>
      <c r="C16" s="6"/>
      <c r="D16" s="6"/>
      <c r="E16" s="6"/>
      <c r="F16" s="57"/>
      <c r="G16" s="57"/>
      <c r="H16" s="57"/>
      <c r="I16" s="57"/>
      <c r="J16" s="57"/>
      <c r="K16" s="65"/>
      <c r="L16" s="65"/>
      <c r="M16" s="65"/>
      <c r="N16" s="65"/>
      <c r="O16" s="65"/>
    </row>
    <row r="17" spans="1:15" ht="18" customHeight="1" x14ac:dyDescent="0.25">
      <c r="A17" s="73" t="s">
        <v>45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8" x14ac:dyDescent="0.25">
      <c r="A18" s="3"/>
      <c r="B18" s="6"/>
      <c r="C18" s="6"/>
      <c r="D18" s="6"/>
      <c r="E18" s="6"/>
      <c r="F18" s="57"/>
      <c r="G18" s="57"/>
      <c r="H18" s="57"/>
      <c r="I18" s="57"/>
      <c r="J18" s="57"/>
      <c r="K18" s="65"/>
      <c r="L18" s="65"/>
      <c r="M18" s="65"/>
      <c r="N18" s="65"/>
      <c r="O18" s="65"/>
    </row>
    <row r="19" spans="1:15" ht="25.5" customHeight="1" x14ac:dyDescent="0.25">
      <c r="A19" s="27"/>
      <c r="B19" s="28"/>
      <c r="C19" s="28"/>
      <c r="D19" s="29"/>
      <c r="E19" s="30"/>
      <c r="F19" s="69" t="s">
        <v>12</v>
      </c>
      <c r="G19" s="70"/>
      <c r="H19" s="69" t="s">
        <v>13</v>
      </c>
      <c r="I19" s="70"/>
      <c r="J19" s="69" t="s">
        <v>52</v>
      </c>
      <c r="K19" s="70"/>
      <c r="L19" s="69" t="s">
        <v>53</v>
      </c>
      <c r="M19" s="70"/>
      <c r="N19" s="69" t="s">
        <v>54</v>
      </c>
      <c r="O19" s="70"/>
    </row>
    <row r="20" spans="1:15" ht="15.75" customHeight="1" x14ac:dyDescent="0.25">
      <c r="A20" s="83" t="s">
        <v>8</v>
      </c>
      <c r="B20" s="84"/>
      <c r="C20" s="84"/>
      <c r="D20" s="84"/>
      <c r="E20" s="84"/>
      <c r="F20" s="58" t="s">
        <v>62</v>
      </c>
      <c r="G20" s="32" t="s">
        <v>62</v>
      </c>
      <c r="H20" s="58" t="s">
        <v>62</v>
      </c>
      <c r="I20" s="32" t="s">
        <v>62</v>
      </c>
      <c r="J20" s="32" t="s">
        <v>62</v>
      </c>
      <c r="K20" s="32" t="s">
        <v>62</v>
      </c>
      <c r="L20" s="32" t="s">
        <v>62</v>
      </c>
      <c r="M20" s="32" t="s">
        <v>62</v>
      </c>
      <c r="N20" s="32" t="s">
        <v>62</v>
      </c>
      <c r="O20" s="32" t="s">
        <v>62</v>
      </c>
    </row>
    <row r="21" spans="1:15" x14ac:dyDescent="0.25">
      <c r="A21" s="83" t="s">
        <v>9</v>
      </c>
      <c r="B21" s="76"/>
      <c r="C21" s="76"/>
      <c r="D21" s="76"/>
      <c r="E21" s="76"/>
      <c r="F21" s="59" t="s">
        <v>62</v>
      </c>
      <c r="G21" s="32" t="s">
        <v>62</v>
      </c>
      <c r="H21" s="59" t="s">
        <v>62</v>
      </c>
      <c r="I21" s="32" t="s">
        <v>62</v>
      </c>
      <c r="J21" s="32" t="s">
        <v>62</v>
      </c>
      <c r="K21" s="32" t="s">
        <v>62</v>
      </c>
      <c r="L21" s="32" t="s">
        <v>62</v>
      </c>
      <c r="M21" s="32" t="s">
        <v>62</v>
      </c>
      <c r="N21" s="32" t="s">
        <v>62</v>
      </c>
      <c r="O21" s="32" t="s">
        <v>62</v>
      </c>
    </row>
    <row r="22" spans="1:15" x14ac:dyDescent="0.25">
      <c r="A22" s="85" t="s">
        <v>10</v>
      </c>
      <c r="B22" s="86"/>
      <c r="C22" s="86"/>
      <c r="D22" s="86"/>
      <c r="E22" s="86"/>
      <c r="F22" s="60">
        <v>0</v>
      </c>
      <c r="G22" s="31">
        <v>0</v>
      </c>
      <c r="H22" s="60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</row>
    <row r="23" spans="1:15" ht="18" x14ac:dyDescent="0.25">
      <c r="A23" s="22"/>
      <c r="B23" s="6"/>
      <c r="C23" s="6"/>
      <c r="D23" s="6"/>
      <c r="E23" s="6"/>
      <c r="F23" s="57"/>
      <c r="G23" s="57"/>
      <c r="H23" s="57"/>
      <c r="I23" s="57"/>
      <c r="J23" s="57"/>
      <c r="K23" s="65"/>
      <c r="L23" s="65"/>
      <c r="M23" s="65"/>
      <c r="N23" s="65"/>
      <c r="O23" s="65"/>
    </row>
    <row r="24" spans="1:15" ht="18" customHeight="1" x14ac:dyDescent="0.25">
      <c r="A24" s="73" t="s">
        <v>59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1:15" ht="18" x14ac:dyDescent="0.25">
      <c r="A25" s="22"/>
      <c r="B25" s="6"/>
      <c r="C25" s="6"/>
      <c r="D25" s="6"/>
      <c r="E25" s="6"/>
      <c r="F25" s="57"/>
      <c r="G25" s="57"/>
      <c r="H25" s="57"/>
      <c r="I25" s="57"/>
      <c r="J25" s="57"/>
      <c r="K25" s="65"/>
      <c r="L25" s="65"/>
      <c r="M25" s="65"/>
      <c r="N25" s="65"/>
      <c r="O25" s="65"/>
    </row>
    <row r="26" spans="1:15" ht="25.5" customHeight="1" x14ac:dyDescent="0.25">
      <c r="A26" s="27"/>
      <c r="B26" s="28"/>
      <c r="C26" s="28"/>
      <c r="D26" s="29"/>
      <c r="E26" s="30"/>
      <c r="F26" s="69" t="s">
        <v>12</v>
      </c>
      <c r="G26" s="70"/>
      <c r="H26" s="69" t="s">
        <v>13</v>
      </c>
      <c r="I26" s="70"/>
      <c r="J26" s="69" t="s">
        <v>52</v>
      </c>
      <c r="K26" s="70"/>
      <c r="L26" s="69" t="s">
        <v>53</v>
      </c>
      <c r="M26" s="70"/>
      <c r="N26" s="69" t="s">
        <v>54</v>
      </c>
      <c r="O26" s="70"/>
    </row>
    <row r="27" spans="1:15" x14ac:dyDescent="0.25">
      <c r="A27" s="77" t="s">
        <v>48</v>
      </c>
      <c r="B27" s="78"/>
      <c r="C27" s="78"/>
      <c r="D27" s="78"/>
      <c r="E27" s="79"/>
      <c r="F27" s="35">
        <f>G27/7.5345</f>
        <v>16299.212953746101</v>
      </c>
      <c r="G27" s="35">
        <v>122806.42</v>
      </c>
      <c r="H27" s="35">
        <f>I27/7.5345</f>
        <v>4776.9593204592211</v>
      </c>
      <c r="I27" s="35">
        <v>35992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6">
        <v>0</v>
      </c>
    </row>
    <row r="28" spans="1:15" ht="30" customHeight="1" x14ac:dyDescent="0.25">
      <c r="A28" s="80" t="s">
        <v>7</v>
      </c>
      <c r="B28" s="81"/>
      <c r="C28" s="81"/>
      <c r="D28" s="81"/>
      <c r="E28" s="82"/>
      <c r="F28" s="37">
        <f>F27+F15</f>
        <v>4776.9818833366298</v>
      </c>
      <c r="G28" s="37">
        <f>G27+G15</f>
        <v>35992.17</v>
      </c>
      <c r="H28" s="37">
        <f>H15+H27</f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4">
        <v>0</v>
      </c>
    </row>
    <row r="31" spans="1:15" x14ac:dyDescent="0.25">
      <c r="A31" s="75" t="s">
        <v>11</v>
      </c>
      <c r="B31" s="76"/>
      <c r="C31" s="76"/>
      <c r="D31" s="76"/>
      <c r="E31" s="76"/>
      <c r="F31" s="32">
        <f>F28</f>
        <v>4776.9818833366298</v>
      </c>
      <c r="G31" s="32">
        <f>G28</f>
        <v>35992.17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1.25" customHeight="1" x14ac:dyDescent="0.25">
      <c r="A32" s="17"/>
      <c r="B32" s="18"/>
      <c r="C32" s="18"/>
      <c r="D32" s="18"/>
      <c r="E32" s="18"/>
      <c r="F32" s="61"/>
      <c r="G32" s="19"/>
      <c r="H32" s="19"/>
      <c r="I32" s="19"/>
      <c r="J32" s="19"/>
      <c r="K32" s="19"/>
      <c r="L32" s="19"/>
      <c r="M32" s="19"/>
      <c r="N32" s="19"/>
      <c r="O32" s="19"/>
    </row>
    <row r="33" spans="1:15" ht="29.25" customHeight="1" x14ac:dyDescent="0.25">
      <c r="A33" s="71" t="s">
        <v>60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</row>
    <row r="34" spans="1:15" ht="8.25" customHeight="1" x14ac:dyDescent="0.25"/>
    <row r="35" spans="1:15" x14ac:dyDescent="0.25">
      <c r="A35" s="71" t="s">
        <v>50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</row>
    <row r="36" spans="1:15" ht="8.25" customHeight="1" x14ac:dyDescent="0.25"/>
    <row r="37" spans="1:15" ht="29.25" customHeight="1" x14ac:dyDescent="0.25">
      <c r="A37" s="71" t="s">
        <v>51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</row>
  </sheetData>
  <mergeCells count="35">
    <mergeCell ref="J19:K19"/>
    <mergeCell ref="L19:M19"/>
    <mergeCell ref="N19:O19"/>
    <mergeCell ref="J26:K26"/>
    <mergeCell ref="L26:M26"/>
    <mergeCell ref="N26:O26"/>
    <mergeCell ref="A13:E13"/>
    <mergeCell ref="A5:O5"/>
    <mergeCell ref="A17:O17"/>
    <mergeCell ref="A1:O1"/>
    <mergeCell ref="A3:O3"/>
    <mergeCell ref="A9:E9"/>
    <mergeCell ref="A10:E10"/>
    <mergeCell ref="A11:E11"/>
    <mergeCell ref="F8:G8"/>
    <mergeCell ref="J8:K8"/>
    <mergeCell ref="L8:M8"/>
    <mergeCell ref="N8:O8"/>
    <mergeCell ref="A20:E20"/>
    <mergeCell ref="A21:E21"/>
    <mergeCell ref="A22:E22"/>
    <mergeCell ref="A14:E14"/>
    <mergeCell ref="A15:E15"/>
    <mergeCell ref="A37:O37"/>
    <mergeCell ref="A24:O24"/>
    <mergeCell ref="A33:O33"/>
    <mergeCell ref="A31:E31"/>
    <mergeCell ref="A35:O35"/>
    <mergeCell ref="A27:E27"/>
    <mergeCell ref="A28:E28"/>
    <mergeCell ref="F19:G19"/>
    <mergeCell ref="F26:G26"/>
    <mergeCell ref="H8:I8"/>
    <mergeCell ref="H19:I19"/>
    <mergeCell ref="H26:I26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workbookViewId="0">
      <selection activeCell="A49" sqref="A49:XFD4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61.28515625" customWidth="1"/>
    <col min="5" max="9" width="25.28515625" style="62" customWidth="1"/>
  </cols>
  <sheetData>
    <row r="1" spans="1:9" ht="42" customHeight="1" x14ac:dyDescent="0.25">
      <c r="A1" s="73" t="s">
        <v>100</v>
      </c>
      <c r="B1" s="73"/>
      <c r="C1" s="73"/>
      <c r="D1" s="73"/>
      <c r="E1" s="73"/>
      <c r="F1" s="73"/>
      <c r="G1" s="73"/>
      <c r="H1" s="73"/>
      <c r="I1" s="73"/>
    </row>
    <row r="2" spans="1:9" ht="18" customHeight="1" x14ac:dyDescent="0.25">
      <c r="A2" s="3"/>
      <c r="B2" s="3"/>
      <c r="C2" s="3"/>
      <c r="D2" s="3"/>
      <c r="E2" s="54"/>
      <c r="F2" s="54"/>
      <c r="G2" s="54"/>
      <c r="H2" s="54"/>
      <c r="I2" s="54"/>
    </row>
    <row r="3" spans="1:9" ht="15.75" x14ac:dyDescent="0.25">
      <c r="A3" s="73" t="s">
        <v>36</v>
      </c>
      <c r="B3" s="73"/>
      <c r="C3" s="73"/>
      <c r="D3" s="73"/>
      <c r="E3" s="73"/>
      <c r="F3" s="73"/>
      <c r="G3" s="73"/>
      <c r="H3" s="89"/>
      <c r="I3" s="89"/>
    </row>
    <row r="4" spans="1:9" ht="18" x14ac:dyDescent="0.25">
      <c r="A4" s="3"/>
      <c r="B4" s="3"/>
      <c r="C4" s="3"/>
      <c r="D4" s="3"/>
      <c r="E4" s="54"/>
      <c r="F4" s="54"/>
      <c r="G4" s="54"/>
      <c r="H4" s="63"/>
      <c r="I4" s="63"/>
    </row>
    <row r="5" spans="1:9" ht="18" customHeight="1" x14ac:dyDescent="0.25">
      <c r="A5" s="73" t="s">
        <v>15</v>
      </c>
      <c r="B5" s="74"/>
      <c r="C5" s="74"/>
      <c r="D5" s="74"/>
      <c r="E5" s="74"/>
      <c r="F5" s="74"/>
      <c r="G5" s="74"/>
      <c r="H5" s="74"/>
      <c r="I5" s="74"/>
    </row>
    <row r="6" spans="1:9" ht="18" x14ac:dyDescent="0.25">
      <c r="A6" s="3"/>
      <c r="B6" s="3"/>
      <c r="C6" s="3"/>
      <c r="D6" s="3"/>
      <c r="E6" s="54"/>
      <c r="F6" s="54"/>
      <c r="G6" s="54"/>
      <c r="H6" s="63"/>
      <c r="I6" s="63"/>
    </row>
    <row r="7" spans="1:9" ht="15.75" x14ac:dyDescent="0.25">
      <c r="A7" s="73" t="s">
        <v>1</v>
      </c>
      <c r="B7" s="92"/>
      <c r="C7" s="92"/>
      <c r="D7" s="92"/>
      <c r="E7" s="92"/>
      <c r="F7" s="92"/>
      <c r="G7" s="92"/>
      <c r="H7" s="92"/>
      <c r="I7" s="92"/>
    </row>
    <row r="8" spans="1:9" ht="18" x14ac:dyDescent="0.25">
      <c r="A8" s="3"/>
      <c r="B8" s="3"/>
      <c r="C8" s="3"/>
      <c r="D8" s="3"/>
      <c r="E8" s="54"/>
      <c r="F8" s="54"/>
      <c r="G8" s="54"/>
      <c r="H8" s="63"/>
      <c r="I8" s="63"/>
    </row>
    <row r="9" spans="1:9" ht="25.5" x14ac:dyDescent="0.25">
      <c r="A9" s="21" t="s">
        <v>16</v>
      </c>
      <c r="B9" s="20" t="s">
        <v>17</v>
      </c>
      <c r="C9" s="20" t="s">
        <v>18</v>
      </c>
      <c r="D9" s="20" t="s">
        <v>14</v>
      </c>
      <c r="E9" s="66" t="s">
        <v>12</v>
      </c>
      <c r="F9" s="67" t="s">
        <v>13</v>
      </c>
      <c r="G9" s="67" t="s">
        <v>52</v>
      </c>
      <c r="H9" s="67" t="s">
        <v>53</v>
      </c>
      <c r="I9" s="67" t="s">
        <v>54</v>
      </c>
    </row>
    <row r="10" spans="1:9" s="47" customFormat="1" ht="15.75" customHeight="1" x14ac:dyDescent="0.25">
      <c r="A10" s="10">
        <v>6</v>
      </c>
      <c r="B10" s="10"/>
      <c r="C10" s="10"/>
      <c r="D10" s="10" t="s">
        <v>19</v>
      </c>
      <c r="E10" s="46">
        <f>E11+E14+E16+E18</f>
        <v>363574.25310239563</v>
      </c>
      <c r="F10" s="46">
        <f t="shared" ref="F10:I10" si="0">F11+F14+F16+F18</f>
        <v>441461.27812064497</v>
      </c>
      <c r="G10" s="46">
        <f t="shared" si="0"/>
        <v>513663.81312628574</v>
      </c>
      <c r="H10" s="46">
        <f t="shared" si="0"/>
        <v>485938.01844847033</v>
      </c>
      <c r="I10" s="46">
        <f t="shared" si="0"/>
        <v>3661300</v>
      </c>
    </row>
    <row r="11" spans="1:9" x14ac:dyDescent="0.25">
      <c r="A11" s="11"/>
      <c r="B11" s="11">
        <v>63</v>
      </c>
      <c r="C11" s="11"/>
      <c r="D11" s="11" t="s">
        <v>56</v>
      </c>
      <c r="E11" s="7">
        <f>E12+E13</f>
        <v>10812.290132059194</v>
      </c>
      <c r="F11" s="7">
        <f t="shared" ref="F11:I11" si="1">F12+F13</f>
        <v>4063.9723936558494</v>
      </c>
      <c r="G11" s="7">
        <f t="shared" si="1"/>
        <v>4937.2884730240885</v>
      </c>
      <c r="H11" s="7">
        <f t="shared" si="1"/>
        <v>4937.2884730240885</v>
      </c>
      <c r="I11" s="7">
        <f t="shared" si="1"/>
        <v>37200</v>
      </c>
    </row>
    <row r="12" spans="1:9" s="50" customFormat="1" x14ac:dyDescent="0.25">
      <c r="A12" s="12"/>
      <c r="B12" s="12"/>
      <c r="C12" s="12" t="s">
        <v>68</v>
      </c>
      <c r="D12" s="16" t="s">
        <v>69</v>
      </c>
      <c r="E12" s="48">
        <f>33331.76/7.5345</f>
        <v>4423.8847966022959</v>
      </c>
      <c r="F12" s="48">
        <f>23000/7.5345</f>
        <v>3052.6245935363991</v>
      </c>
      <c r="G12" s="48">
        <f>37200/7.5345</f>
        <v>4937.2884730240885</v>
      </c>
      <c r="H12" s="48">
        <f>37200/7.5345</f>
        <v>4937.2884730240885</v>
      </c>
      <c r="I12" s="48">
        <v>37200</v>
      </c>
    </row>
    <row r="13" spans="1:9" s="50" customFormat="1" x14ac:dyDescent="0.25">
      <c r="A13" s="12"/>
      <c r="B13" s="12"/>
      <c r="C13" s="12" t="s">
        <v>70</v>
      </c>
      <c r="D13" s="16" t="s">
        <v>71</v>
      </c>
      <c r="E13" s="48">
        <f>48133.44/7.5345</f>
        <v>6388.4053354568978</v>
      </c>
      <c r="F13" s="48">
        <f>7620/7.5345</f>
        <v>1011.3478001194504</v>
      </c>
      <c r="G13" s="48">
        <v>0</v>
      </c>
      <c r="H13" s="48">
        <v>0</v>
      </c>
      <c r="I13" s="48">
        <v>0</v>
      </c>
    </row>
    <row r="14" spans="1:9" x14ac:dyDescent="0.25">
      <c r="A14" s="11"/>
      <c r="B14" s="11">
        <v>64</v>
      </c>
      <c r="C14" s="11"/>
      <c r="D14" s="11" t="s">
        <v>63</v>
      </c>
      <c r="E14" s="7">
        <f>E15</f>
        <v>3.8834693742119581</v>
      </c>
      <c r="F14" s="7">
        <f t="shared" ref="F14:I14" si="2">F15</f>
        <v>13.272280841462605</v>
      </c>
      <c r="G14" s="7">
        <f t="shared" si="2"/>
        <v>13.272280841462605</v>
      </c>
      <c r="H14" s="7">
        <f t="shared" si="2"/>
        <v>13.272280841462605</v>
      </c>
      <c r="I14" s="7">
        <f t="shared" si="2"/>
        <v>100</v>
      </c>
    </row>
    <row r="15" spans="1:9" s="50" customFormat="1" x14ac:dyDescent="0.25">
      <c r="A15" s="12"/>
      <c r="B15" s="12"/>
      <c r="C15" s="12" t="s">
        <v>72</v>
      </c>
      <c r="D15" s="16" t="s">
        <v>73</v>
      </c>
      <c r="E15" s="48">
        <f>29.26/7.5345</f>
        <v>3.8834693742119581</v>
      </c>
      <c r="F15" s="48">
        <f>100/7.5345</f>
        <v>13.272280841462605</v>
      </c>
      <c r="G15" s="48">
        <f>100/7.5345</f>
        <v>13.272280841462605</v>
      </c>
      <c r="H15" s="48">
        <f>100/7.5345</f>
        <v>13.272280841462605</v>
      </c>
      <c r="I15" s="48">
        <v>100</v>
      </c>
    </row>
    <row r="16" spans="1:9" ht="28.5" customHeight="1" x14ac:dyDescent="0.25">
      <c r="A16" s="11"/>
      <c r="B16" s="11">
        <v>66</v>
      </c>
      <c r="C16" s="11"/>
      <c r="D16" s="51" t="s">
        <v>64</v>
      </c>
      <c r="E16" s="7">
        <f>E17</f>
        <v>26731.853474019506</v>
      </c>
      <c r="F16" s="8">
        <f t="shared" ref="F16:I16" si="3">F17</f>
        <v>15795.341429424645</v>
      </c>
      <c r="G16" s="8">
        <f t="shared" si="3"/>
        <v>33884.13298825403</v>
      </c>
      <c r="H16" s="8">
        <f t="shared" si="3"/>
        <v>33366.514035436987</v>
      </c>
      <c r="I16" s="8">
        <f t="shared" si="3"/>
        <v>251400</v>
      </c>
    </row>
    <row r="17" spans="1:9" s="50" customFormat="1" x14ac:dyDescent="0.25">
      <c r="A17" s="12"/>
      <c r="B17" s="12"/>
      <c r="C17" s="12" t="s">
        <v>72</v>
      </c>
      <c r="D17" s="16" t="s">
        <v>73</v>
      </c>
      <c r="E17" s="48">
        <f>201411.15/7.5345</f>
        <v>26731.853474019506</v>
      </c>
      <c r="F17" s="48">
        <f>119010/7.5345</f>
        <v>15795.341429424645</v>
      </c>
      <c r="G17" s="48">
        <f>255300/7.5345</f>
        <v>33884.13298825403</v>
      </c>
      <c r="H17" s="48">
        <f>251400/7.5345</f>
        <v>33366.514035436987</v>
      </c>
      <c r="I17" s="48">
        <v>251400</v>
      </c>
    </row>
    <row r="18" spans="1:9" x14ac:dyDescent="0.25">
      <c r="A18" s="11"/>
      <c r="B18" s="11">
        <v>67</v>
      </c>
      <c r="C18" s="11"/>
      <c r="D18" s="11" t="s">
        <v>57</v>
      </c>
      <c r="E18" s="7">
        <f>E19</f>
        <v>326026.22602694272</v>
      </c>
      <c r="F18" s="7">
        <f t="shared" ref="F18:I18" si="4">F19</f>
        <v>421588.69201672304</v>
      </c>
      <c r="G18" s="7">
        <f t="shared" si="4"/>
        <v>474829.11938416614</v>
      </c>
      <c r="H18" s="7">
        <f t="shared" si="4"/>
        <v>447620.94365916779</v>
      </c>
      <c r="I18" s="7">
        <f t="shared" si="4"/>
        <v>3372600</v>
      </c>
    </row>
    <row r="19" spans="1:9" s="50" customFormat="1" x14ac:dyDescent="0.25">
      <c r="A19" s="12"/>
      <c r="B19" s="12"/>
      <c r="C19" s="12" t="s">
        <v>74</v>
      </c>
      <c r="D19" s="16" t="s">
        <v>75</v>
      </c>
      <c r="E19" s="48">
        <f>2456444.6/7.5345</f>
        <v>326026.22602694272</v>
      </c>
      <c r="F19" s="48">
        <f>3176460/7.5345</f>
        <v>421588.69201672304</v>
      </c>
      <c r="G19" s="48">
        <f>3577600/7.5345</f>
        <v>474829.11938416614</v>
      </c>
      <c r="H19" s="48">
        <f>3372600/7.5345</f>
        <v>447620.94365916779</v>
      </c>
      <c r="I19" s="48">
        <v>3372600</v>
      </c>
    </row>
    <row r="20" spans="1:9" s="47" customFormat="1" ht="15.75" customHeight="1" x14ac:dyDescent="0.25">
      <c r="A20" s="10">
        <v>7</v>
      </c>
      <c r="B20" s="10"/>
      <c r="C20" s="10"/>
      <c r="D20" s="10" t="s">
        <v>21</v>
      </c>
      <c r="E20" s="46">
        <f>SUM(E21)</f>
        <v>7313.0267436458953</v>
      </c>
      <c r="F20" s="46">
        <f t="shared" ref="F20:I20" si="5">SUM(F21)</f>
        <v>0</v>
      </c>
      <c r="G20" s="46">
        <f t="shared" si="5"/>
        <v>0</v>
      </c>
      <c r="H20" s="46">
        <f t="shared" si="5"/>
        <v>0</v>
      </c>
      <c r="I20" s="46">
        <f t="shared" si="5"/>
        <v>0</v>
      </c>
    </row>
    <row r="21" spans="1:9" x14ac:dyDescent="0.25">
      <c r="A21" s="11"/>
      <c r="B21" s="11">
        <v>72</v>
      </c>
      <c r="C21" s="11"/>
      <c r="D21" s="11" t="s">
        <v>55</v>
      </c>
      <c r="E21" s="7">
        <f>E22</f>
        <v>7313.0267436458953</v>
      </c>
      <c r="F21" s="7">
        <f t="shared" ref="F21:I21" si="6">F22</f>
        <v>0</v>
      </c>
      <c r="G21" s="7">
        <f t="shared" si="6"/>
        <v>0</v>
      </c>
      <c r="H21" s="7">
        <f t="shared" si="6"/>
        <v>0</v>
      </c>
      <c r="I21" s="7">
        <f t="shared" si="6"/>
        <v>0</v>
      </c>
    </row>
    <row r="22" spans="1:9" s="50" customFormat="1" x14ac:dyDescent="0.25">
      <c r="A22" s="12"/>
      <c r="B22" s="12"/>
      <c r="C22" s="12" t="s">
        <v>76</v>
      </c>
      <c r="D22" s="16" t="s">
        <v>77</v>
      </c>
      <c r="E22" s="48">
        <f>55100/7.5345</f>
        <v>7313.0267436458953</v>
      </c>
      <c r="F22" s="48">
        <v>0</v>
      </c>
      <c r="G22" s="48">
        <v>0</v>
      </c>
      <c r="H22" s="48">
        <v>0</v>
      </c>
      <c r="I22" s="48">
        <v>0</v>
      </c>
    </row>
    <row r="24" spans="1:9" ht="15.75" x14ac:dyDescent="0.25">
      <c r="A24" s="73" t="s">
        <v>22</v>
      </c>
      <c r="B24" s="92"/>
      <c r="C24" s="92"/>
      <c r="D24" s="92"/>
      <c r="E24" s="92"/>
      <c r="F24" s="92"/>
      <c r="G24" s="92"/>
      <c r="H24" s="92"/>
      <c r="I24" s="92"/>
    </row>
    <row r="25" spans="1:9" ht="18" x14ac:dyDescent="0.25">
      <c r="A25" s="3"/>
      <c r="B25" s="3"/>
      <c r="C25" s="3"/>
      <c r="D25" s="3"/>
      <c r="E25" s="54"/>
      <c r="F25" s="54"/>
      <c r="G25" s="54"/>
      <c r="H25" s="63"/>
      <c r="I25" s="63"/>
    </row>
    <row r="26" spans="1:9" ht="25.5" x14ac:dyDescent="0.25">
      <c r="A26" s="21" t="s">
        <v>16</v>
      </c>
      <c r="B26" s="20" t="s">
        <v>17</v>
      </c>
      <c r="C26" s="20" t="s">
        <v>18</v>
      </c>
      <c r="D26" s="20" t="s">
        <v>23</v>
      </c>
      <c r="E26" s="66" t="s">
        <v>12</v>
      </c>
      <c r="F26" s="67" t="s">
        <v>13</v>
      </c>
      <c r="G26" s="67" t="s">
        <v>52</v>
      </c>
      <c r="H26" s="67" t="s">
        <v>53</v>
      </c>
      <c r="I26" s="67" t="s">
        <v>54</v>
      </c>
    </row>
    <row r="27" spans="1:9" s="47" customFormat="1" ht="15.75" customHeight="1" x14ac:dyDescent="0.25">
      <c r="A27" s="10">
        <v>3</v>
      </c>
      <c r="B27" s="10"/>
      <c r="C27" s="10"/>
      <c r="D27" s="10" t="s">
        <v>24</v>
      </c>
      <c r="E27" s="46">
        <f>E28+E35+E41</f>
        <v>360928.86322914588</v>
      </c>
      <c r="F27" s="46">
        <f>F28+F35+F41</f>
        <v>445324.83907359478</v>
      </c>
      <c r="G27" s="46">
        <f>G28+G35+G41</f>
        <v>512071.13942531019</v>
      </c>
      <c r="H27" s="46">
        <f>H28+H35+H41</f>
        <v>484345.34474749479</v>
      </c>
      <c r="I27" s="46">
        <f>I28+I35+I41</f>
        <v>484345.34474749479</v>
      </c>
    </row>
    <row r="28" spans="1:9" ht="15.75" customHeight="1" x14ac:dyDescent="0.25">
      <c r="A28" s="10"/>
      <c r="B28" s="14">
        <v>31</v>
      </c>
      <c r="C28" s="14"/>
      <c r="D28" s="14" t="s">
        <v>25</v>
      </c>
      <c r="E28" s="7">
        <f>SUM(E29:E34)</f>
        <v>287796.8796867741</v>
      </c>
      <c r="F28" s="7">
        <f>SUM(F29:F34)</f>
        <v>370272.3472028668</v>
      </c>
      <c r="G28" s="7">
        <f t="shared" ref="G28:I28" si="7">SUM(G29:G34)</f>
        <v>435954.60879952216</v>
      </c>
      <c r="H28" s="7">
        <f t="shared" si="7"/>
        <v>409184.41834229208</v>
      </c>
      <c r="I28" s="7">
        <f t="shared" si="7"/>
        <v>409184.41834229208</v>
      </c>
    </row>
    <row r="29" spans="1:9" s="50" customFormat="1" x14ac:dyDescent="0.25">
      <c r="A29" s="12"/>
      <c r="B29" s="12"/>
      <c r="C29" s="12" t="s">
        <v>74</v>
      </c>
      <c r="D29" s="16" t="s">
        <v>75</v>
      </c>
      <c r="E29" s="48">
        <f>1937750.38/7.5345</f>
        <v>257183.67244010881</v>
      </c>
      <c r="F29" s="49">
        <f>2745000/7.5345</f>
        <v>364324.10909814847</v>
      </c>
      <c r="G29" s="49">
        <f>3137000/7.5345</f>
        <v>416351.44999668188</v>
      </c>
      <c r="H29" s="49">
        <f>2937000/7.5345</f>
        <v>389806.88831375667</v>
      </c>
      <c r="I29" s="49">
        <f>2937000/7.5345</f>
        <v>389806.88831375667</v>
      </c>
    </row>
    <row r="30" spans="1:9" s="50" customFormat="1" x14ac:dyDescent="0.25">
      <c r="A30" s="12"/>
      <c r="B30" s="12"/>
      <c r="C30" s="12" t="s">
        <v>72</v>
      </c>
      <c r="D30" s="15" t="s">
        <v>73</v>
      </c>
      <c r="E30" s="48">
        <f>88056.26/7.5345</f>
        <v>11687.074125688498</v>
      </c>
      <c r="F30" s="49">
        <f>211/7.5345</f>
        <v>28.004512575486096</v>
      </c>
      <c r="G30" s="49">
        <f>112700/7.5345</f>
        <v>14957.860508328355</v>
      </c>
      <c r="H30" s="49">
        <f>111000/7.5345</f>
        <v>14732.231734023491</v>
      </c>
      <c r="I30" s="49">
        <f>111000/7.5345</f>
        <v>14732.231734023491</v>
      </c>
    </row>
    <row r="31" spans="1:9" s="50" customFormat="1" x14ac:dyDescent="0.25">
      <c r="A31" s="12"/>
      <c r="B31" s="12"/>
      <c r="C31" s="12" t="s">
        <v>78</v>
      </c>
      <c r="D31" s="15" t="s">
        <v>79</v>
      </c>
      <c r="E31" s="48">
        <f>19000/7.5345</f>
        <v>2521.7333598778951</v>
      </c>
      <c r="F31" s="49">
        <f>21847/7.5345</f>
        <v>2899.5951954343354</v>
      </c>
      <c r="G31" s="49">
        <v>0</v>
      </c>
      <c r="H31" s="49">
        <v>0</v>
      </c>
      <c r="I31" s="49">
        <v>0</v>
      </c>
    </row>
    <row r="32" spans="1:9" s="50" customFormat="1" x14ac:dyDescent="0.25">
      <c r="A32" s="12"/>
      <c r="B32" s="12"/>
      <c r="C32" s="12" t="s">
        <v>82</v>
      </c>
      <c r="D32" s="15" t="s">
        <v>69</v>
      </c>
      <c r="E32" s="48">
        <f>29132.99/7.5345</f>
        <v>3866.6122503152164</v>
      </c>
      <c r="F32" s="49">
        <f>21600/7.5345</f>
        <v>2866.8126617559228</v>
      </c>
      <c r="G32" s="49">
        <f>35000/7.5345</f>
        <v>4645.298294511912</v>
      </c>
      <c r="H32" s="49">
        <f>35000/7.5345</f>
        <v>4645.298294511912</v>
      </c>
      <c r="I32" s="49">
        <f>35000/7.5345</f>
        <v>4645.298294511912</v>
      </c>
    </row>
    <row r="33" spans="1:9" s="50" customFormat="1" x14ac:dyDescent="0.25">
      <c r="A33" s="12"/>
      <c r="B33" s="12"/>
      <c r="C33" s="12" t="s">
        <v>80</v>
      </c>
      <c r="D33" s="15" t="s">
        <v>81</v>
      </c>
      <c r="E33" s="48">
        <f>78059.44/7.5345</f>
        <v>10360.268100072997</v>
      </c>
      <c r="F33" s="49">
        <f>0/7.5345</f>
        <v>0</v>
      </c>
      <c r="G33" s="49">
        <v>0</v>
      </c>
      <c r="H33" s="49">
        <v>0</v>
      </c>
      <c r="I33" s="49">
        <v>0</v>
      </c>
    </row>
    <row r="34" spans="1:9" s="50" customFormat="1" x14ac:dyDescent="0.25">
      <c r="A34" s="12"/>
      <c r="B34" s="12"/>
      <c r="C34" s="12" t="s">
        <v>70</v>
      </c>
      <c r="D34" s="15" t="s">
        <v>71</v>
      </c>
      <c r="E34" s="48">
        <f>16406.52/7.5345</f>
        <v>2177.5194107107304</v>
      </c>
      <c r="F34" s="49">
        <f>1159/7.5345</f>
        <v>153.82573495255158</v>
      </c>
      <c r="G34" s="49">
        <v>0</v>
      </c>
      <c r="H34" s="49">
        <v>0</v>
      </c>
      <c r="I34" s="49">
        <v>0</v>
      </c>
    </row>
    <row r="35" spans="1:9" x14ac:dyDescent="0.25">
      <c r="A35" s="11"/>
      <c r="B35" s="11">
        <v>32</v>
      </c>
      <c r="C35" s="12"/>
      <c r="D35" s="11" t="s">
        <v>39</v>
      </c>
      <c r="E35" s="7">
        <f>SUM(E36:E40)</f>
        <v>72133.103722874759</v>
      </c>
      <c r="F35" s="7">
        <f>SUM(F36:F40)</f>
        <v>73857.986594996357</v>
      </c>
      <c r="G35" s="7">
        <f t="shared" ref="G35:I35" si="8">SUM(G36:G40)</f>
        <v>74789.30254164178</v>
      </c>
      <c r="H35" s="7">
        <f t="shared" si="8"/>
        <v>73833.698321056465</v>
      </c>
      <c r="I35" s="7">
        <f t="shared" si="8"/>
        <v>73833.698321056465</v>
      </c>
    </row>
    <row r="36" spans="1:9" s="50" customFormat="1" x14ac:dyDescent="0.25">
      <c r="A36" s="12"/>
      <c r="B36" s="12"/>
      <c r="C36" s="12" t="s">
        <v>74</v>
      </c>
      <c r="D36" s="16" t="s">
        <v>75</v>
      </c>
      <c r="E36" s="48">
        <f>425798.08/7.5345</f>
        <v>56513.116995155615</v>
      </c>
      <c r="F36" s="49">
        <f>431460/7.5345</f>
        <v>57264.582918574553</v>
      </c>
      <c r="G36" s="49">
        <f>440600/7.5345</f>
        <v>58477.669387484239</v>
      </c>
      <c r="H36" s="49">
        <f>435600/7.5345</f>
        <v>57814.055345411107</v>
      </c>
      <c r="I36" s="49">
        <f>435600/7.5345</f>
        <v>57814.055345411107</v>
      </c>
    </row>
    <row r="37" spans="1:9" s="50" customFormat="1" x14ac:dyDescent="0.25">
      <c r="A37" s="12"/>
      <c r="B37" s="12"/>
      <c r="C37" s="12" t="s">
        <v>72</v>
      </c>
      <c r="D37" s="15" t="s">
        <v>73</v>
      </c>
      <c r="E37" s="48">
        <f>83038.41/7.5345</f>
        <v>11021.090981485168</v>
      </c>
      <c r="F37" s="49">
        <f>105449/7.5345</f>
        <v>13995.487424513902</v>
      </c>
      <c r="G37" s="49">
        <f>120700/7.5345</f>
        <v>16019.642975645364</v>
      </c>
      <c r="H37" s="49">
        <f>118500/7.5345</f>
        <v>15727.652797133187</v>
      </c>
      <c r="I37" s="49">
        <f>118500/7.5345</f>
        <v>15727.652797133187</v>
      </c>
    </row>
    <row r="38" spans="1:9" s="50" customFormat="1" x14ac:dyDescent="0.25">
      <c r="A38" s="12"/>
      <c r="B38" s="12"/>
      <c r="C38" s="12" t="s">
        <v>78</v>
      </c>
      <c r="D38" s="15" t="s">
        <v>79</v>
      </c>
      <c r="E38" s="48">
        <f>25729.09/7.5345</f>
        <v>3414.837082752671</v>
      </c>
      <c r="F38" s="49">
        <f>11713/7.5345</f>
        <v>1554.5822549605148</v>
      </c>
      <c r="G38" s="49">
        <v>0</v>
      </c>
      <c r="H38" s="49">
        <v>0</v>
      </c>
      <c r="I38" s="49">
        <v>0</v>
      </c>
    </row>
    <row r="39" spans="1:9" s="50" customFormat="1" x14ac:dyDescent="0.25">
      <c r="A39" s="12"/>
      <c r="B39" s="12"/>
      <c r="C39" s="12" t="s">
        <v>82</v>
      </c>
      <c r="D39" s="15" t="s">
        <v>69</v>
      </c>
      <c r="E39" s="48">
        <f>1726.67/7.5345</f>
        <v>229.16849160528236</v>
      </c>
      <c r="F39" s="49">
        <f>1400/7.5345</f>
        <v>185.81193178047647</v>
      </c>
      <c r="G39" s="49">
        <f>2200/7.5345</f>
        <v>291.99017851217729</v>
      </c>
      <c r="H39" s="49">
        <f>2200/7.5345</f>
        <v>291.99017851217729</v>
      </c>
      <c r="I39" s="49">
        <f>2200/7.5345</f>
        <v>291.99017851217729</v>
      </c>
    </row>
    <row r="40" spans="1:9" s="50" customFormat="1" x14ac:dyDescent="0.25">
      <c r="A40" s="12"/>
      <c r="B40" s="12"/>
      <c r="C40" s="12" t="s">
        <v>70</v>
      </c>
      <c r="D40" s="15" t="s">
        <v>71</v>
      </c>
      <c r="E40" s="48">
        <f>7194.62/7.5345</f>
        <v>954.89017187603679</v>
      </c>
      <c r="F40" s="49">
        <f>6461/7.5345</f>
        <v>857.52206516689887</v>
      </c>
      <c r="G40" s="49">
        <v>0</v>
      </c>
      <c r="H40" s="49">
        <v>0</v>
      </c>
      <c r="I40" s="49">
        <v>0</v>
      </c>
    </row>
    <row r="41" spans="1:9" x14ac:dyDescent="0.25">
      <c r="A41" s="11"/>
      <c r="B41" s="11">
        <v>34</v>
      </c>
      <c r="C41" s="11"/>
      <c r="D41" s="11" t="s">
        <v>65</v>
      </c>
      <c r="E41" s="7">
        <f>E42</f>
        <v>998.87981949698053</v>
      </c>
      <c r="F41" s="7">
        <f t="shared" ref="F41:I41" si="9">F42</f>
        <v>1194.5052757316344</v>
      </c>
      <c r="G41" s="7">
        <f t="shared" si="9"/>
        <v>1327.2280841462605</v>
      </c>
      <c r="H41" s="7">
        <f t="shared" si="9"/>
        <v>1327.2280841462605</v>
      </c>
      <c r="I41" s="7">
        <f t="shared" si="9"/>
        <v>1327.2280841462605</v>
      </c>
    </row>
    <row r="42" spans="1:9" s="50" customFormat="1" x14ac:dyDescent="0.25">
      <c r="A42" s="12"/>
      <c r="B42" s="12"/>
      <c r="C42" s="12" t="s">
        <v>72</v>
      </c>
      <c r="D42" s="15" t="s">
        <v>73</v>
      </c>
      <c r="E42" s="48">
        <f>7526.06/7.5345</f>
        <v>998.87981949698053</v>
      </c>
      <c r="F42" s="49">
        <f>9000/7.5345</f>
        <v>1194.5052757316344</v>
      </c>
      <c r="G42" s="49">
        <f>10000/7.5345</f>
        <v>1327.2280841462605</v>
      </c>
      <c r="H42" s="49">
        <f>10000/7.5345</f>
        <v>1327.2280841462605</v>
      </c>
      <c r="I42" s="49">
        <f>10000/7.5345</f>
        <v>1327.2280841462605</v>
      </c>
    </row>
    <row r="43" spans="1:9" s="47" customFormat="1" ht="15.75" customHeight="1" x14ac:dyDescent="0.25">
      <c r="A43" s="10">
        <v>4</v>
      </c>
      <c r="B43" s="10"/>
      <c r="C43" s="10"/>
      <c r="D43" s="10" t="s">
        <v>26</v>
      </c>
      <c r="E43" s="46">
        <f>SUM(E44)</f>
        <v>21480.647687305063</v>
      </c>
      <c r="F43" s="46">
        <f t="shared" ref="F43:I43" si="10">SUM(F44)</f>
        <v>913.53109031787108</v>
      </c>
      <c r="G43" s="46">
        <f t="shared" si="10"/>
        <v>1592.6737009755125</v>
      </c>
      <c r="H43" s="46">
        <f t="shared" si="10"/>
        <v>1592.6737009755125</v>
      </c>
      <c r="I43" s="46">
        <f t="shared" si="10"/>
        <v>1592.6737009755125</v>
      </c>
    </row>
    <row r="44" spans="1:9" x14ac:dyDescent="0.25">
      <c r="A44" s="11"/>
      <c r="B44" s="11">
        <v>42</v>
      </c>
      <c r="C44" s="12"/>
      <c r="D44" s="11" t="s">
        <v>58</v>
      </c>
      <c r="E44" s="7">
        <f>SUM(E45:E49)</f>
        <v>21480.647687305063</v>
      </c>
      <c r="F44" s="7">
        <f t="shared" ref="F44:I44" si="11">SUM(F45:F49)</f>
        <v>913.53109031787108</v>
      </c>
      <c r="G44" s="7">
        <f t="shared" si="11"/>
        <v>1592.6737009755125</v>
      </c>
      <c r="H44" s="7">
        <f t="shared" si="11"/>
        <v>1592.6737009755125</v>
      </c>
      <c r="I44" s="7">
        <f t="shared" si="11"/>
        <v>1592.6737009755125</v>
      </c>
    </row>
    <row r="45" spans="1:9" s="50" customFormat="1" x14ac:dyDescent="0.25">
      <c r="A45" s="16"/>
      <c r="B45" s="16"/>
      <c r="C45" s="12" t="s">
        <v>74</v>
      </c>
      <c r="D45" s="16" t="s">
        <v>75</v>
      </c>
      <c r="E45" s="48">
        <f>92896.14/7.5345</f>
        <v>12329.436591678279</v>
      </c>
      <c r="F45" s="49">
        <v>0</v>
      </c>
      <c r="G45" s="49">
        <v>0</v>
      </c>
      <c r="H45" s="49">
        <v>0</v>
      </c>
      <c r="I45" s="53">
        <v>0</v>
      </c>
    </row>
    <row r="46" spans="1:9" s="50" customFormat="1" x14ac:dyDescent="0.25">
      <c r="A46" s="12"/>
      <c r="B46" s="12"/>
      <c r="C46" s="12" t="s">
        <v>72</v>
      </c>
      <c r="D46" s="15" t="s">
        <v>73</v>
      </c>
      <c r="E46" s="48">
        <f>9854.97/7.5345</f>
        <v>1307.9792952418873</v>
      </c>
      <c r="F46" s="49">
        <f>4450/7.5345</f>
        <v>590.61649744508588</v>
      </c>
      <c r="G46" s="49">
        <f>12000/7.5345</f>
        <v>1592.6737009755125</v>
      </c>
      <c r="H46" s="49">
        <f>12000/7.5345</f>
        <v>1592.6737009755125</v>
      </c>
      <c r="I46" s="49">
        <f>12000/7.5345</f>
        <v>1592.6737009755125</v>
      </c>
    </row>
    <row r="47" spans="1:9" s="50" customFormat="1" x14ac:dyDescent="0.25">
      <c r="A47" s="16"/>
      <c r="B47" s="16"/>
      <c r="C47" s="12" t="s">
        <v>80</v>
      </c>
      <c r="D47" s="15" t="s">
        <v>81</v>
      </c>
      <c r="E47" s="48">
        <v>0</v>
      </c>
      <c r="F47" s="49">
        <f>2433/7.5345</f>
        <v>322.91459287278519</v>
      </c>
      <c r="G47" s="49">
        <v>0</v>
      </c>
      <c r="H47" s="49">
        <v>0</v>
      </c>
      <c r="I47" s="53">
        <v>0</v>
      </c>
    </row>
    <row r="48" spans="1:9" s="50" customFormat="1" x14ac:dyDescent="0.25">
      <c r="A48" s="12"/>
      <c r="B48" s="12"/>
      <c r="C48" s="12" t="s">
        <v>70</v>
      </c>
      <c r="D48" s="15" t="s">
        <v>71</v>
      </c>
      <c r="E48" s="48">
        <f>3994.83/7.5345</f>
        <v>530.20505673900061</v>
      </c>
      <c r="F48" s="49">
        <v>0</v>
      </c>
      <c r="G48" s="49">
        <v>0</v>
      </c>
      <c r="H48" s="49">
        <v>0</v>
      </c>
      <c r="I48" s="49">
        <v>0</v>
      </c>
    </row>
    <row r="49" spans="1:9" s="50" customFormat="1" x14ac:dyDescent="0.25">
      <c r="A49" s="12"/>
      <c r="B49" s="12"/>
      <c r="C49" s="12" t="s">
        <v>76</v>
      </c>
      <c r="D49" s="15" t="s">
        <v>77</v>
      </c>
      <c r="E49" s="48">
        <f>55100/7.5345</f>
        <v>7313.0267436458953</v>
      </c>
      <c r="F49" s="49">
        <v>0</v>
      </c>
      <c r="G49" s="49">
        <v>0</v>
      </c>
      <c r="H49" s="49">
        <v>0</v>
      </c>
      <c r="I49" s="49">
        <v>0</v>
      </c>
    </row>
  </sheetData>
  <mergeCells count="5">
    <mergeCell ref="A7:I7"/>
    <mergeCell ref="A24:I24"/>
    <mergeCell ref="A1:I1"/>
    <mergeCell ref="A3:I3"/>
    <mergeCell ref="A5:I5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workbookViewId="0">
      <selection activeCell="E17" sqref="E17"/>
    </sheetView>
  </sheetViews>
  <sheetFormatPr defaultRowHeight="15" x14ac:dyDescent="0.25"/>
  <cols>
    <col min="1" max="1" width="37.7109375" customWidth="1"/>
    <col min="2" max="6" width="25.28515625" style="62" customWidth="1"/>
  </cols>
  <sheetData>
    <row r="1" spans="1:6" ht="42" customHeight="1" x14ac:dyDescent="0.25">
      <c r="A1" s="73" t="s">
        <v>99</v>
      </c>
      <c r="B1" s="73"/>
      <c r="C1" s="73"/>
      <c r="D1" s="73"/>
      <c r="E1" s="73"/>
      <c r="F1" s="73"/>
    </row>
    <row r="2" spans="1:6" ht="18" customHeight="1" x14ac:dyDescent="0.25">
      <c r="A2" s="3"/>
      <c r="B2" s="54"/>
      <c r="C2" s="54"/>
      <c r="D2" s="54"/>
      <c r="E2" s="54"/>
      <c r="F2" s="54"/>
    </row>
    <row r="3" spans="1:6" ht="15.75" x14ac:dyDescent="0.25">
      <c r="A3" s="73" t="s">
        <v>36</v>
      </c>
      <c r="B3" s="73"/>
      <c r="C3" s="73"/>
      <c r="D3" s="73"/>
      <c r="E3" s="89"/>
      <c r="F3" s="89"/>
    </row>
    <row r="4" spans="1:6" ht="18" x14ac:dyDescent="0.25">
      <c r="A4" s="3"/>
      <c r="B4" s="54"/>
      <c r="C4" s="54"/>
      <c r="D4" s="54"/>
      <c r="E4" s="63"/>
      <c r="F4" s="63"/>
    </row>
    <row r="5" spans="1:6" ht="18" customHeight="1" x14ac:dyDescent="0.25">
      <c r="A5" s="73" t="s">
        <v>15</v>
      </c>
      <c r="B5" s="74"/>
      <c r="C5" s="74"/>
      <c r="D5" s="74"/>
      <c r="E5" s="74"/>
      <c r="F5" s="74"/>
    </row>
    <row r="6" spans="1:6" ht="18" x14ac:dyDescent="0.25">
      <c r="A6" s="3"/>
      <c r="B6" s="54"/>
      <c r="C6" s="54"/>
      <c r="D6" s="54"/>
      <c r="E6" s="63"/>
      <c r="F6" s="63"/>
    </row>
    <row r="7" spans="1:6" ht="15.75" x14ac:dyDescent="0.25">
      <c r="A7" s="73" t="s">
        <v>27</v>
      </c>
      <c r="B7" s="92"/>
      <c r="C7" s="92"/>
      <c r="D7" s="92"/>
      <c r="E7" s="92"/>
      <c r="F7" s="92"/>
    </row>
    <row r="8" spans="1:6" ht="18" x14ac:dyDescent="0.25">
      <c r="A8" s="3"/>
      <c r="B8" s="54"/>
      <c r="C8" s="54"/>
      <c r="D8" s="54"/>
      <c r="E8" s="63"/>
      <c r="F8" s="63"/>
    </row>
    <row r="9" spans="1:6" ht="25.5" x14ac:dyDescent="0.25">
      <c r="A9" s="21" t="s">
        <v>28</v>
      </c>
      <c r="B9" s="66" t="s">
        <v>12</v>
      </c>
      <c r="C9" s="67" t="s">
        <v>13</v>
      </c>
      <c r="D9" s="67" t="s">
        <v>52</v>
      </c>
      <c r="E9" s="67" t="s">
        <v>53</v>
      </c>
      <c r="F9" s="67" t="s">
        <v>54</v>
      </c>
    </row>
    <row r="10" spans="1:6" s="47" customFormat="1" ht="15.75" customHeight="1" x14ac:dyDescent="0.25">
      <c r="A10" s="10" t="s">
        <v>29</v>
      </c>
      <c r="B10" s="46">
        <f>B11+B13</f>
        <v>382409.51091645093</v>
      </c>
      <c r="C10" s="46">
        <f t="shared" ref="C10:F10" si="0">C11+C13</f>
        <v>446238.37016391265</v>
      </c>
      <c r="D10" s="46">
        <f t="shared" si="0"/>
        <v>513663.81312628574</v>
      </c>
      <c r="E10" s="46">
        <f t="shared" si="0"/>
        <v>485938.01844847033</v>
      </c>
      <c r="F10" s="46">
        <f t="shared" si="0"/>
        <v>485938.01844847033</v>
      </c>
    </row>
    <row r="11" spans="1:6" s="47" customFormat="1" ht="15.75" customHeight="1" x14ac:dyDescent="0.25">
      <c r="A11" s="10" t="s">
        <v>30</v>
      </c>
      <c r="B11" s="46">
        <f>SUM(B12)</f>
        <v>362487.81737341557</v>
      </c>
      <c r="C11" s="46">
        <f t="shared" ref="C11:F11" si="1">SUM(C12)</f>
        <v>441611.25489415356</v>
      </c>
      <c r="D11" s="46">
        <f t="shared" si="1"/>
        <v>508726.52465326164</v>
      </c>
      <c r="E11" s="46">
        <f t="shared" si="1"/>
        <v>481000.72997544624</v>
      </c>
      <c r="F11" s="46">
        <f t="shared" si="1"/>
        <v>481000.72997544624</v>
      </c>
    </row>
    <row r="12" spans="1:6" s="50" customFormat="1" x14ac:dyDescent="0.25">
      <c r="A12" s="52" t="s">
        <v>31</v>
      </c>
      <c r="B12" s="48">
        <f>2731164.46/7.5345</f>
        <v>362487.81737341557</v>
      </c>
      <c r="C12" s="49">
        <f>3327320/7.5345</f>
        <v>441611.25489415356</v>
      </c>
      <c r="D12" s="49">
        <f>3833000/7.5345</f>
        <v>508726.52465326164</v>
      </c>
      <c r="E12" s="49">
        <f>3624100/7.5345</f>
        <v>481000.72997544624</v>
      </c>
      <c r="F12" s="49">
        <f>3624100/7.5345</f>
        <v>481000.72997544624</v>
      </c>
    </row>
    <row r="13" spans="1:6" s="47" customFormat="1" ht="25.5" x14ac:dyDescent="0.25">
      <c r="A13" s="10" t="s">
        <v>66</v>
      </c>
      <c r="B13" s="46">
        <f>SUM(B14)</f>
        <v>19921.69354303537</v>
      </c>
      <c r="C13" s="46">
        <f t="shared" ref="C13:F13" si="2">SUM(C14)</f>
        <v>4627.1152697591078</v>
      </c>
      <c r="D13" s="46">
        <f t="shared" si="2"/>
        <v>4937.2884730240885</v>
      </c>
      <c r="E13" s="46">
        <f t="shared" si="2"/>
        <v>4937.2884730240885</v>
      </c>
      <c r="F13" s="46">
        <f t="shared" si="2"/>
        <v>4937.2884730240885</v>
      </c>
    </row>
    <row r="14" spans="1:6" s="50" customFormat="1" x14ac:dyDescent="0.25">
      <c r="A14" s="16" t="s">
        <v>67</v>
      </c>
      <c r="B14" s="48">
        <f>150100/7.5345</f>
        <v>19921.69354303537</v>
      </c>
      <c r="C14" s="49">
        <f>34863/7.5345</f>
        <v>4627.1152697591078</v>
      </c>
      <c r="D14" s="49">
        <f>37200/7.5345</f>
        <v>4937.2884730240885</v>
      </c>
      <c r="E14" s="49">
        <f>37200/7.5345</f>
        <v>4937.2884730240885</v>
      </c>
      <c r="F14" s="49">
        <f>37200/7.5345</f>
        <v>4937.2884730240885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73" t="s">
        <v>99</v>
      </c>
      <c r="B1" s="73"/>
      <c r="C1" s="73"/>
      <c r="D1" s="73"/>
      <c r="E1" s="73"/>
      <c r="F1" s="73"/>
      <c r="G1" s="73"/>
      <c r="H1" s="73"/>
      <c r="I1" s="73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73" t="s">
        <v>36</v>
      </c>
      <c r="B3" s="73"/>
      <c r="C3" s="73"/>
      <c r="D3" s="73"/>
      <c r="E3" s="73"/>
      <c r="F3" s="73"/>
      <c r="G3" s="73"/>
      <c r="H3" s="89"/>
      <c r="I3" s="89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73" t="s">
        <v>32</v>
      </c>
      <c r="B5" s="74"/>
      <c r="C5" s="74"/>
      <c r="D5" s="74"/>
      <c r="E5" s="74"/>
      <c r="F5" s="74"/>
      <c r="G5" s="74"/>
      <c r="H5" s="74"/>
      <c r="I5" s="74"/>
    </row>
    <row r="6" spans="1:9" ht="18" x14ac:dyDescent="0.25">
      <c r="A6" s="3"/>
      <c r="B6" s="3"/>
      <c r="C6" s="3"/>
      <c r="D6" s="3"/>
      <c r="E6" s="3"/>
      <c r="F6" s="3"/>
      <c r="G6" s="3"/>
      <c r="H6" s="4"/>
      <c r="I6" s="4"/>
    </row>
    <row r="7" spans="1:9" ht="25.5" x14ac:dyDescent="0.25">
      <c r="A7" s="21" t="s">
        <v>16</v>
      </c>
      <c r="B7" s="20" t="s">
        <v>17</v>
      </c>
      <c r="C7" s="20" t="s">
        <v>18</v>
      </c>
      <c r="D7" s="20" t="s">
        <v>61</v>
      </c>
      <c r="E7" s="20" t="s">
        <v>12</v>
      </c>
      <c r="F7" s="21" t="s">
        <v>13</v>
      </c>
      <c r="G7" s="21" t="s">
        <v>52</v>
      </c>
      <c r="H7" s="21" t="s">
        <v>53</v>
      </c>
      <c r="I7" s="21" t="s">
        <v>54</v>
      </c>
    </row>
    <row r="8" spans="1:9" ht="25.5" x14ac:dyDescent="0.25">
      <c r="A8" s="10">
        <v>8</v>
      </c>
      <c r="B8" s="10"/>
      <c r="C8" s="10"/>
      <c r="D8" s="10" t="s">
        <v>33</v>
      </c>
      <c r="E8" s="7"/>
      <c r="F8" s="8"/>
      <c r="G8" s="8"/>
      <c r="H8" s="8"/>
      <c r="I8" s="8"/>
    </row>
    <row r="9" spans="1:9" x14ac:dyDescent="0.25">
      <c r="A9" s="10"/>
      <c r="B9" s="14">
        <v>84</v>
      </c>
      <c r="C9" s="14"/>
      <c r="D9" s="14" t="s">
        <v>40</v>
      </c>
      <c r="E9" s="7"/>
      <c r="F9" s="8"/>
      <c r="G9" s="8"/>
      <c r="H9" s="8"/>
      <c r="I9" s="8"/>
    </row>
    <row r="10" spans="1:9" ht="25.5" x14ac:dyDescent="0.25">
      <c r="A10" s="11"/>
      <c r="B10" s="11"/>
      <c r="C10" s="12">
        <v>81</v>
      </c>
      <c r="D10" s="15" t="s">
        <v>41</v>
      </c>
      <c r="E10" s="7"/>
      <c r="F10" s="8"/>
      <c r="G10" s="8"/>
      <c r="H10" s="8"/>
      <c r="I10" s="8"/>
    </row>
    <row r="11" spans="1:9" ht="25.5" x14ac:dyDescent="0.25">
      <c r="A11" s="13">
        <v>5</v>
      </c>
      <c r="B11" s="13"/>
      <c r="C11" s="13"/>
      <c r="D11" s="23" t="s">
        <v>34</v>
      </c>
      <c r="E11" s="7"/>
      <c r="F11" s="8"/>
      <c r="G11" s="8"/>
      <c r="H11" s="8"/>
      <c r="I11" s="8"/>
    </row>
    <row r="12" spans="1:9" ht="25.5" x14ac:dyDescent="0.25">
      <c r="A12" s="14"/>
      <c r="B12" s="14">
        <v>54</v>
      </c>
      <c r="C12" s="14"/>
      <c r="D12" s="24" t="s">
        <v>42</v>
      </c>
      <c r="E12" s="7"/>
      <c r="F12" s="8"/>
      <c r="G12" s="8"/>
      <c r="H12" s="8"/>
      <c r="I12" s="9"/>
    </row>
    <row r="13" spans="1:9" x14ac:dyDescent="0.25">
      <c r="A13" s="14"/>
      <c r="B13" s="14"/>
      <c r="C13" s="12">
        <v>11</v>
      </c>
      <c r="D13" s="12" t="s">
        <v>20</v>
      </c>
      <c r="E13" s="7"/>
      <c r="F13" s="8"/>
      <c r="G13" s="8"/>
      <c r="H13" s="8"/>
      <c r="I13" s="9"/>
    </row>
    <row r="14" spans="1:9" x14ac:dyDescent="0.25">
      <c r="A14" s="14"/>
      <c r="B14" s="14"/>
      <c r="C14" s="12">
        <v>31</v>
      </c>
      <c r="D14" s="12" t="s">
        <v>43</v>
      </c>
      <c r="E14" s="7"/>
      <c r="F14" s="8"/>
      <c r="G14" s="8"/>
      <c r="H14" s="8"/>
      <c r="I14" s="9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9"/>
  <sheetViews>
    <sheetView workbookViewId="0">
      <selection activeCell="I61" sqref="I6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85546875" customWidth="1"/>
    <col min="4" max="4" width="52.7109375" customWidth="1"/>
    <col min="5" max="5" width="16.140625" style="62" customWidth="1"/>
    <col min="6" max="9" width="25.28515625" style="62" customWidth="1"/>
  </cols>
  <sheetData>
    <row r="1" spans="1:9" ht="42" customHeight="1" x14ac:dyDescent="0.25">
      <c r="A1" s="73" t="s">
        <v>99</v>
      </c>
      <c r="B1" s="73"/>
      <c r="C1" s="73"/>
      <c r="D1" s="73"/>
      <c r="E1" s="73"/>
      <c r="F1" s="73"/>
      <c r="G1" s="73"/>
      <c r="H1" s="73"/>
      <c r="I1" s="73"/>
    </row>
    <row r="2" spans="1:9" ht="18" x14ac:dyDescent="0.25">
      <c r="A2" s="3"/>
      <c r="B2" s="3"/>
      <c r="C2" s="3"/>
      <c r="D2" s="3"/>
      <c r="E2" s="54"/>
      <c r="F2" s="54"/>
      <c r="G2" s="54"/>
      <c r="H2" s="63"/>
      <c r="I2" s="63"/>
    </row>
    <row r="3" spans="1:9" ht="18" customHeight="1" x14ac:dyDescent="0.25">
      <c r="A3" s="73" t="s">
        <v>35</v>
      </c>
      <c r="B3" s="74"/>
      <c r="C3" s="74"/>
      <c r="D3" s="74"/>
      <c r="E3" s="74"/>
      <c r="F3" s="74"/>
      <c r="G3" s="74"/>
      <c r="H3" s="74"/>
      <c r="I3" s="74"/>
    </row>
    <row r="4" spans="1:9" ht="18" x14ac:dyDescent="0.25">
      <c r="A4" s="3"/>
      <c r="B4" s="3"/>
      <c r="C4" s="3"/>
      <c r="D4" s="3"/>
      <c r="E4" s="54"/>
      <c r="F4" s="54"/>
      <c r="G4" s="54"/>
      <c r="H4" s="63"/>
      <c r="I4" s="63"/>
    </row>
    <row r="5" spans="1:9" ht="25.5" x14ac:dyDescent="0.25">
      <c r="A5" s="105" t="s">
        <v>37</v>
      </c>
      <c r="B5" s="106"/>
      <c r="C5" s="107"/>
      <c r="D5" s="20" t="s">
        <v>38</v>
      </c>
      <c r="E5" s="66" t="s">
        <v>12</v>
      </c>
      <c r="F5" s="67" t="s">
        <v>13</v>
      </c>
      <c r="G5" s="67" t="s">
        <v>52</v>
      </c>
      <c r="H5" s="67" t="s">
        <v>53</v>
      </c>
      <c r="I5" s="67" t="s">
        <v>54</v>
      </c>
    </row>
    <row r="6" spans="1:9" s="47" customFormat="1" x14ac:dyDescent="0.25">
      <c r="A6" s="96" t="s">
        <v>102</v>
      </c>
      <c r="B6" s="97"/>
      <c r="C6" s="98"/>
      <c r="D6" s="26" t="s">
        <v>103</v>
      </c>
      <c r="E6" s="46">
        <f>E7</f>
        <v>366227.52140155283</v>
      </c>
      <c r="F6" s="46">
        <f t="shared" ref="F6:I6" si="0">F7</f>
        <v>441611.25489415351</v>
      </c>
      <c r="G6" s="46">
        <f t="shared" si="0"/>
        <v>508726.52465326164</v>
      </c>
      <c r="H6" s="46">
        <f t="shared" si="0"/>
        <v>481000.72997544624</v>
      </c>
      <c r="I6" s="46">
        <f t="shared" si="0"/>
        <v>481000.72997544624</v>
      </c>
    </row>
    <row r="7" spans="1:9" s="47" customFormat="1" x14ac:dyDescent="0.25">
      <c r="A7" s="96" t="s">
        <v>104</v>
      </c>
      <c r="B7" s="97"/>
      <c r="C7" s="98"/>
      <c r="D7" s="26" t="s">
        <v>83</v>
      </c>
      <c r="E7" s="46">
        <f>E8+E14+E21+E25</f>
        <v>366227.52140155283</v>
      </c>
      <c r="F7" s="46">
        <f t="shared" ref="F7:I7" si="1">F8+F14+F21+F25</f>
        <v>441611.25489415351</v>
      </c>
      <c r="G7" s="46">
        <f t="shared" si="1"/>
        <v>508726.52465326164</v>
      </c>
      <c r="H7" s="46">
        <f t="shared" si="1"/>
        <v>481000.72997544624</v>
      </c>
      <c r="I7" s="46">
        <f t="shared" si="1"/>
        <v>481000.72997544624</v>
      </c>
    </row>
    <row r="8" spans="1:9" s="50" customFormat="1" x14ac:dyDescent="0.25">
      <c r="A8" s="99" t="s">
        <v>84</v>
      </c>
      <c r="B8" s="100"/>
      <c r="C8" s="101"/>
      <c r="D8" s="40" t="s">
        <v>75</v>
      </c>
      <c r="E8" s="48">
        <f>E9+E12</f>
        <v>326026.22602694272</v>
      </c>
      <c r="F8" s="48">
        <f t="shared" ref="F8:I8" si="2">F9+F12</f>
        <v>421588.69201672304</v>
      </c>
      <c r="G8" s="48">
        <f t="shared" si="2"/>
        <v>474829.11938416614</v>
      </c>
      <c r="H8" s="48">
        <f t="shared" si="2"/>
        <v>447620.94365916779</v>
      </c>
      <c r="I8" s="48">
        <f t="shared" si="2"/>
        <v>447620.94365916779</v>
      </c>
    </row>
    <row r="9" spans="1:9" x14ac:dyDescent="0.25">
      <c r="A9" s="102">
        <v>3</v>
      </c>
      <c r="B9" s="103"/>
      <c r="C9" s="104"/>
      <c r="D9" s="25" t="s">
        <v>24</v>
      </c>
      <c r="E9" s="7">
        <f>SUM(E10:E11)</f>
        <v>313696.78943526442</v>
      </c>
      <c r="F9" s="7">
        <f t="shared" ref="F9:I9" si="3">SUM(F10:F11)</f>
        <v>421588.69201672304</v>
      </c>
      <c r="G9" s="7">
        <f t="shared" si="3"/>
        <v>474829.11938416614</v>
      </c>
      <c r="H9" s="7">
        <f t="shared" si="3"/>
        <v>447620.94365916779</v>
      </c>
      <c r="I9" s="7">
        <f t="shared" si="3"/>
        <v>447620.94365916779</v>
      </c>
    </row>
    <row r="10" spans="1:9" x14ac:dyDescent="0.25">
      <c r="A10" s="93">
        <v>31</v>
      </c>
      <c r="B10" s="94"/>
      <c r="C10" s="95"/>
      <c r="D10" s="25" t="s">
        <v>25</v>
      </c>
      <c r="E10" s="7">
        <f>1937750.38/7.5345</f>
        <v>257183.67244010881</v>
      </c>
      <c r="F10" s="8">
        <f>2745000/7.5345</f>
        <v>364324.10909814847</v>
      </c>
      <c r="G10" s="8">
        <f>3137000/7.5345</f>
        <v>416351.44999668188</v>
      </c>
      <c r="H10" s="8">
        <f>2937000/7.5345</f>
        <v>389806.88831375667</v>
      </c>
      <c r="I10" s="8">
        <f>2937000/7.5345</f>
        <v>389806.88831375667</v>
      </c>
    </row>
    <row r="11" spans="1:9" x14ac:dyDescent="0.25">
      <c r="A11" s="93">
        <v>32</v>
      </c>
      <c r="B11" s="94"/>
      <c r="C11" s="95"/>
      <c r="D11" s="25" t="s">
        <v>39</v>
      </c>
      <c r="E11" s="7">
        <f>425798.08/7.5345</f>
        <v>56513.116995155615</v>
      </c>
      <c r="F11" s="8">
        <f>431460/7.5345</f>
        <v>57264.582918574553</v>
      </c>
      <c r="G11" s="8">
        <f>440600/7.5345</f>
        <v>58477.669387484239</v>
      </c>
      <c r="H11" s="8">
        <f>435600/7.5345</f>
        <v>57814.055345411107</v>
      </c>
      <c r="I11" s="8">
        <f>435600/7.5345</f>
        <v>57814.055345411107</v>
      </c>
    </row>
    <row r="12" spans="1:9" x14ac:dyDescent="0.25">
      <c r="A12" s="102">
        <v>4</v>
      </c>
      <c r="B12" s="103"/>
      <c r="C12" s="104"/>
      <c r="D12" s="25" t="s">
        <v>26</v>
      </c>
      <c r="E12" s="7">
        <f>E13</f>
        <v>12329.436591678279</v>
      </c>
      <c r="F12" s="7">
        <f t="shared" ref="F12:I12" si="4">F13</f>
        <v>0</v>
      </c>
      <c r="G12" s="7">
        <f t="shared" si="4"/>
        <v>0</v>
      </c>
      <c r="H12" s="7">
        <f t="shared" si="4"/>
        <v>0</v>
      </c>
      <c r="I12" s="7">
        <f t="shared" si="4"/>
        <v>0</v>
      </c>
    </row>
    <row r="13" spans="1:9" x14ac:dyDescent="0.25">
      <c r="A13" s="93">
        <v>42</v>
      </c>
      <c r="B13" s="94"/>
      <c r="C13" s="95"/>
      <c r="D13" s="25" t="s">
        <v>58</v>
      </c>
      <c r="E13" s="7">
        <f>92896.14/7.5345</f>
        <v>12329.436591678279</v>
      </c>
      <c r="F13" s="8">
        <v>0</v>
      </c>
      <c r="G13" s="8">
        <v>0</v>
      </c>
      <c r="H13" s="8">
        <v>0</v>
      </c>
      <c r="I13" s="9">
        <v>0</v>
      </c>
    </row>
    <row r="14" spans="1:9" s="50" customFormat="1" x14ac:dyDescent="0.25">
      <c r="A14" s="99" t="s">
        <v>85</v>
      </c>
      <c r="B14" s="100"/>
      <c r="C14" s="101"/>
      <c r="D14" s="40" t="s">
        <v>73</v>
      </c>
      <c r="E14" s="48">
        <f>E15+E19</f>
        <v>24673.25768133254</v>
      </c>
      <c r="F14" s="48">
        <f t="shared" ref="F14:I14" si="5">F15+F19</f>
        <v>15568.385427035633</v>
      </c>
      <c r="G14" s="48">
        <f t="shared" si="5"/>
        <v>33897.405269095492</v>
      </c>
      <c r="H14" s="48">
        <f t="shared" si="5"/>
        <v>33379.786316278449</v>
      </c>
      <c r="I14" s="48">
        <f t="shared" si="5"/>
        <v>33379.786316278449</v>
      </c>
    </row>
    <row r="15" spans="1:9" x14ac:dyDescent="0.25">
      <c r="A15" s="102">
        <v>3</v>
      </c>
      <c r="B15" s="103"/>
      <c r="C15" s="104"/>
      <c r="D15" s="25" t="s">
        <v>24</v>
      </c>
      <c r="E15" s="7">
        <f>SUM(E16:E18)</f>
        <v>23458.84398433871</v>
      </c>
      <c r="F15" s="7">
        <f t="shared" ref="F15:I15" si="6">SUM(F16:F18)</f>
        <v>15037.49419337713</v>
      </c>
      <c r="G15" s="7">
        <f t="shared" si="6"/>
        <v>32304.73156811998</v>
      </c>
      <c r="H15" s="7">
        <f t="shared" si="6"/>
        <v>31787.112615302936</v>
      </c>
      <c r="I15" s="7">
        <f t="shared" si="6"/>
        <v>31787.112615302936</v>
      </c>
    </row>
    <row r="16" spans="1:9" x14ac:dyDescent="0.25">
      <c r="A16" s="93">
        <v>31</v>
      </c>
      <c r="B16" s="94"/>
      <c r="C16" s="95"/>
      <c r="D16" s="25" t="s">
        <v>25</v>
      </c>
      <c r="E16" s="7">
        <f>87455.83/7.5345</f>
        <v>11607.383369832105</v>
      </c>
      <c r="F16" s="8">
        <v>0</v>
      </c>
      <c r="G16" s="8">
        <f>112700/7.5345</f>
        <v>14957.860508328355</v>
      </c>
      <c r="H16" s="8">
        <f>111000/7.5345</f>
        <v>14732.231734023491</v>
      </c>
      <c r="I16" s="8">
        <f>111000/7.5345</f>
        <v>14732.231734023491</v>
      </c>
    </row>
    <row r="17" spans="1:9" x14ac:dyDescent="0.25">
      <c r="A17" s="93">
        <v>32</v>
      </c>
      <c r="B17" s="94"/>
      <c r="C17" s="95"/>
      <c r="D17" s="25" t="s">
        <v>39</v>
      </c>
      <c r="E17" s="7">
        <f>81768.77/7.5345</f>
        <v>10852.580795009622</v>
      </c>
      <c r="F17" s="8">
        <f>104300/7.5345</f>
        <v>13842.988917645496</v>
      </c>
      <c r="G17" s="8">
        <f>120700/7.5345</f>
        <v>16019.642975645364</v>
      </c>
      <c r="H17" s="8">
        <f>118500/7.5345</f>
        <v>15727.652797133187</v>
      </c>
      <c r="I17" s="8">
        <f>118500/7.5345</f>
        <v>15727.652797133187</v>
      </c>
    </row>
    <row r="18" spans="1:9" x14ac:dyDescent="0.25">
      <c r="A18" s="43">
        <v>34</v>
      </c>
      <c r="B18" s="44"/>
      <c r="C18" s="45"/>
      <c r="D18" s="25" t="s">
        <v>86</v>
      </c>
      <c r="E18" s="7">
        <f>7526.06/7.5345</f>
        <v>998.87981949698053</v>
      </c>
      <c r="F18" s="8">
        <f>9000/7.5345</f>
        <v>1194.5052757316344</v>
      </c>
      <c r="G18" s="8">
        <f>10000/7.5345</f>
        <v>1327.2280841462605</v>
      </c>
      <c r="H18" s="8">
        <f>10000/7.5345</f>
        <v>1327.2280841462605</v>
      </c>
      <c r="I18" s="8">
        <f>10000/7.5345</f>
        <v>1327.2280841462605</v>
      </c>
    </row>
    <row r="19" spans="1:9" x14ac:dyDescent="0.25">
      <c r="A19" s="102">
        <v>4</v>
      </c>
      <c r="B19" s="103"/>
      <c r="C19" s="104"/>
      <c r="D19" s="25" t="s">
        <v>26</v>
      </c>
      <c r="E19" s="7">
        <f>E20</f>
        <v>1214.4136969938284</v>
      </c>
      <c r="F19" s="7">
        <f t="shared" ref="F19:I19" si="7">F20</f>
        <v>530.89123365850423</v>
      </c>
      <c r="G19" s="7">
        <f t="shared" si="7"/>
        <v>1592.6737009755125</v>
      </c>
      <c r="H19" s="7">
        <f t="shared" si="7"/>
        <v>1592.6737009755125</v>
      </c>
      <c r="I19" s="7">
        <f t="shared" si="7"/>
        <v>1592.6737009755125</v>
      </c>
    </row>
    <row r="20" spans="1:9" x14ac:dyDescent="0.25">
      <c r="A20" s="93">
        <v>42</v>
      </c>
      <c r="B20" s="94"/>
      <c r="C20" s="95"/>
      <c r="D20" s="25" t="s">
        <v>58</v>
      </c>
      <c r="E20" s="7">
        <f>9150/7.5345</f>
        <v>1214.4136969938284</v>
      </c>
      <c r="F20" s="8">
        <f>4000/7.5345</f>
        <v>530.89123365850423</v>
      </c>
      <c r="G20" s="8">
        <f>12000/7.5345</f>
        <v>1592.6737009755125</v>
      </c>
      <c r="H20" s="8">
        <f>12000/7.5345</f>
        <v>1592.6737009755125</v>
      </c>
      <c r="I20" s="8">
        <f>12000/7.5345</f>
        <v>1592.6737009755125</v>
      </c>
    </row>
    <row r="21" spans="1:9" s="50" customFormat="1" x14ac:dyDescent="0.25">
      <c r="A21" s="99" t="s">
        <v>87</v>
      </c>
      <c r="B21" s="100"/>
      <c r="C21" s="101"/>
      <c r="D21" s="15" t="s">
        <v>79</v>
      </c>
      <c r="E21" s="48">
        <f>E22</f>
        <v>5936.5704426305656</v>
      </c>
      <c r="F21" s="48">
        <f t="shared" ref="F21:I21" si="8">F22</f>
        <v>4454.17745039485</v>
      </c>
      <c r="G21" s="48">
        <f t="shared" si="8"/>
        <v>0</v>
      </c>
      <c r="H21" s="48">
        <f t="shared" si="8"/>
        <v>0</v>
      </c>
      <c r="I21" s="48">
        <f t="shared" si="8"/>
        <v>0</v>
      </c>
    </row>
    <row r="22" spans="1:9" x14ac:dyDescent="0.25">
      <c r="A22" s="102">
        <v>3</v>
      </c>
      <c r="B22" s="103"/>
      <c r="C22" s="104"/>
      <c r="D22" s="25" t="s">
        <v>24</v>
      </c>
      <c r="E22" s="7">
        <f>SUM(E23:E24)</f>
        <v>5936.5704426305656</v>
      </c>
      <c r="F22" s="7">
        <f t="shared" ref="F22:I22" si="9">SUM(F23:F24)</f>
        <v>4454.17745039485</v>
      </c>
      <c r="G22" s="7">
        <f t="shared" si="9"/>
        <v>0</v>
      </c>
      <c r="H22" s="7">
        <f t="shared" si="9"/>
        <v>0</v>
      </c>
      <c r="I22" s="7">
        <f t="shared" si="9"/>
        <v>0</v>
      </c>
    </row>
    <row r="23" spans="1:9" x14ac:dyDescent="0.25">
      <c r="A23" s="93">
        <v>31</v>
      </c>
      <c r="B23" s="94"/>
      <c r="C23" s="95"/>
      <c r="D23" s="25" t="s">
        <v>25</v>
      </c>
      <c r="E23" s="7">
        <f>19000/7.5345</f>
        <v>2521.7333598778951</v>
      </c>
      <c r="F23" s="8">
        <f>21847/7.5345</f>
        <v>2899.5951954343354</v>
      </c>
      <c r="G23" s="8">
        <v>0</v>
      </c>
      <c r="H23" s="8">
        <v>0</v>
      </c>
      <c r="I23" s="9">
        <v>0</v>
      </c>
    </row>
    <row r="24" spans="1:9" x14ac:dyDescent="0.25">
      <c r="A24" s="93">
        <v>32</v>
      </c>
      <c r="B24" s="94"/>
      <c r="C24" s="95"/>
      <c r="D24" s="25" t="s">
        <v>39</v>
      </c>
      <c r="E24" s="7">
        <f>25729.09/7.5345</f>
        <v>3414.837082752671</v>
      </c>
      <c r="F24" s="8">
        <f>11713/7.5345</f>
        <v>1554.5822549605148</v>
      </c>
      <c r="G24" s="8">
        <v>0</v>
      </c>
      <c r="H24" s="8">
        <v>0</v>
      </c>
      <c r="I24" s="9">
        <v>0</v>
      </c>
    </row>
    <row r="25" spans="1:9" s="50" customFormat="1" x14ac:dyDescent="0.25">
      <c r="A25" s="99" t="s">
        <v>88</v>
      </c>
      <c r="B25" s="100"/>
      <c r="C25" s="101"/>
      <c r="D25" s="40" t="s">
        <v>77</v>
      </c>
      <c r="E25" s="48">
        <f>E26</f>
        <v>9591.4672506470233</v>
      </c>
      <c r="F25" s="48">
        <f t="shared" ref="F25:I25" si="10">F26</f>
        <v>0</v>
      </c>
      <c r="G25" s="48">
        <f t="shared" si="10"/>
        <v>0</v>
      </c>
      <c r="H25" s="48">
        <f t="shared" si="10"/>
        <v>0</v>
      </c>
      <c r="I25" s="48">
        <f t="shared" si="10"/>
        <v>0</v>
      </c>
    </row>
    <row r="26" spans="1:9" x14ac:dyDescent="0.25">
      <c r="A26" s="102">
        <v>4</v>
      </c>
      <c r="B26" s="103"/>
      <c r="C26" s="104"/>
      <c r="D26" s="25" t="s">
        <v>26</v>
      </c>
      <c r="E26" s="7">
        <f>SUM(E27:E28)</f>
        <v>9591.4672506470233</v>
      </c>
      <c r="F26" s="7">
        <f>SUM(F27)</f>
        <v>0</v>
      </c>
      <c r="G26" s="7">
        <f>SUM(G27:G28)</f>
        <v>0</v>
      </c>
      <c r="H26" s="7">
        <f>SUM(H27:H28)</f>
        <v>0</v>
      </c>
      <c r="I26" s="7">
        <f>SUM(I27:I28)</f>
        <v>0</v>
      </c>
    </row>
    <row r="27" spans="1:9" x14ac:dyDescent="0.25">
      <c r="A27" s="93">
        <v>42</v>
      </c>
      <c r="B27" s="94"/>
      <c r="C27" s="95"/>
      <c r="D27" s="25" t="s">
        <v>58</v>
      </c>
      <c r="E27" s="7">
        <f>55100/7.5345</f>
        <v>7313.0267436458953</v>
      </c>
      <c r="F27" s="8">
        <v>0</v>
      </c>
      <c r="G27" s="8">
        <v>0</v>
      </c>
      <c r="H27" s="8">
        <v>0</v>
      </c>
      <c r="I27" s="9">
        <v>0</v>
      </c>
    </row>
    <row r="28" spans="1:9" s="47" customFormat="1" ht="25.5" x14ac:dyDescent="0.25">
      <c r="A28" s="96" t="s">
        <v>105</v>
      </c>
      <c r="B28" s="97"/>
      <c r="C28" s="98"/>
      <c r="D28" s="26" t="s">
        <v>106</v>
      </c>
      <c r="E28" s="46">
        <f>E29</f>
        <v>2278.440507001128</v>
      </c>
      <c r="F28" s="46">
        <f t="shared" ref="F28:I28" si="11">F29</f>
        <v>1574.4906762227088</v>
      </c>
      <c r="G28" s="46">
        <f t="shared" si="11"/>
        <v>0</v>
      </c>
      <c r="H28" s="46">
        <f t="shared" si="11"/>
        <v>0</v>
      </c>
      <c r="I28" s="46">
        <f t="shared" si="11"/>
        <v>0</v>
      </c>
    </row>
    <row r="29" spans="1:9" s="47" customFormat="1" ht="25.5" x14ac:dyDescent="0.25">
      <c r="A29" s="96" t="s">
        <v>107</v>
      </c>
      <c r="B29" s="97"/>
      <c r="C29" s="98"/>
      <c r="D29" s="26" t="s">
        <v>108</v>
      </c>
      <c r="E29" s="46">
        <f>E30+E39</f>
        <v>2278.440507001128</v>
      </c>
      <c r="F29" s="46">
        <f>F30+F39+F36</f>
        <v>1574.4906762227088</v>
      </c>
      <c r="G29" s="46">
        <f>G30+G39</f>
        <v>0</v>
      </c>
      <c r="H29" s="46">
        <f>H30+H39</f>
        <v>0</v>
      </c>
      <c r="I29" s="46">
        <f>I30+I39</f>
        <v>0</v>
      </c>
    </row>
    <row r="30" spans="1:9" s="50" customFormat="1" x14ac:dyDescent="0.25">
      <c r="A30" s="99" t="s">
        <v>85</v>
      </c>
      <c r="B30" s="100"/>
      <c r="C30" s="101"/>
      <c r="D30" s="40" t="s">
        <v>73</v>
      </c>
      <c r="E30" s="48">
        <f>E31+E34</f>
        <v>341.76654057999866</v>
      </c>
      <c r="F30" s="48">
        <f t="shared" ref="F30:I30" si="12">F31+F34</f>
        <v>240.22828323047315</v>
      </c>
      <c r="G30" s="48">
        <f t="shared" si="12"/>
        <v>0</v>
      </c>
      <c r="H30" s="48">
        <f t="shared" si="12"/>
        <v>0</v>
      </c>
      <c r="I30" s="48">
        <f t="shared" si="12"/>
        <v>0</v>
      </c>
    </row>
    <row r="31" spans="1:9" x14ac:dyDescent="0.25">
      <c r="A31" s="102">
        <v>3</v>
      </c>
      <c r="B31" s="103"/>
      <c r="C31" s="104"/>
      <c r="D31" s="25" t="s">
        <v>24</v>
      </c>
      <c r="E31" s="7">
        <f>SUM(E32:E33)</f>
        <v>248.20094233193973</v>
      </c>
      <c r="F31" s="7">
        <f t="shared" ref="F31:I31" si="13">SUM(F32:F33)</f>
        <v>180.50301944389142</v>
      </c>
      <c r="G31" s="7">
        <f t="shared" si="13"/>
        <v>0</v>
      </c>
      <c r="H31" s="7">
        <f t="shared" si="13"/>
        <v>0</v>
      </c>
      <c r="I31" s="7">
        <f t="shared" si="13"/>
        <v>0</v>
      </c>
    </row>
    <row r="32" spans="1:9" x14ac:dyDescent="0.25">
      <c r="A32" s="93">
        <v>31</v>
      </c>
      <c r="B32" s="94"/>
      <c r="C32" s="95"/>
      <c r="D32" s="25" t="s">
        <v>25</v>
      </c>
      <c r="E32" s="7">
        <f>600.43/7.5345</f>
        <v>79.690755856393906</v>
      </c>
      <c r="F32" s="8">
        <f>211/7.5345</f>
        <v>28.004512575486096</v>
      </c>
      <c r="G32" s="8">
        <v>0</v>
      </c>
      <c r="H32" s="8">
        <v>0</v>
      </c>
      <c r="I32" s="9">
        <v>0</v>
      </c>
    </row>
    <row r="33" spans="1:9" x14ac:dyDescent="0.25">
      <c r="A33" s="93">
        <v>32</v>
      </c>
      <c r="B33" s="94"/>
      <c r="C33" s="95"/>
      <c r="D33" s="25" t="s">
        <v>39</v>
      </c>
      <c r="E33" s="7">
        <f>1269.64/7.5345</f>
        <v>168.51018647554582</v>
      </c>
      <c r="F33" s="8">
        <f>1149/7.5345</f>
        <v>152.49850686840531</v>
      </c>
      <c r="G33" s="8">
        <v>0</v>
      </c>
      <c r="H33" s="8">
        <v>0</v>
      </c>
      <c r="I33" s="9">
        <v>0</v>
      </c>
    </row>
    <row r="34" spans="1:9" x14ac:dyDescent="0.25">
      <c r="A34" s="102">
        <v>4</v>
      </c>
      <c r="B34" s="103"/>
      <c r="C34" s="104"/>
      <c r="D34" s="25" t="s">
        <v>26</v>
      </c>
      <c r="E34" s="7">
        <f>E35</f>
        <v>93.565598248058933</v>
      </c>
      <c r="F34" s="7">
        <f t="shared" ref="F34:I34" si="14">F35</f>
        <v>59.725263786581721</v>
      </c>
      <c r="G34" s="7">
        <f t="shared" si="14"/>
        <v>0</v>
      </c>
      <c r="H34" s="7">
        <f t="shared" si="14"/>
        <v>0</v>
      </c>
      <c r="I34" s="7">
        <f t="shared" si="14"/>
        <v>0</v>
      </c>
    </row>
    <row r="35" spans="1:9" x14ac:dyDescent="0.25">
      <c r="A35" s="93">
        <v>42</v>
      </c>
      <c r="B35" s="94"/>
      <c r="C35" s="95"/>
      <c r="D35" s="25" t="s">
        <v>58</v>
      </c>
      <c r="E35" s="7">
        <f>704.97/7.5345</f>
        <v>93.565598248058933</v>
      </c>
      <c r="F35" s="8">
        <f>450/7.5345</f>
        <v>59.725263786581721</v>
      </c>
      <c r="G35" s="8">
        <v>0</v>
      </c>
      <c r="H35" s="8">
        <v>0</v>
      </c>
      <c r="I35" s="9">
        <v>0</v>
      </c>
    </row>
    <row r="36" spans="1:9" s="50" customFormat="1" x14ac:dyDescent="0.25">
      <c r="A36" s="99" t="s">
        <v>92</v>
      </c>
      <c r="B36" s="100"/>
      <c r="C36" s="101"/>
      <c r="D36" s="40" t="s">
        <v>81</v>
      </c>
      <c r="E36" s="48">
        <f>E37</f>
        <v>0</v>
      </c>
      <c r="F36" s="48">
        <f t="shared" ref="F36:I36" si="15">F37</f>
        <v>322.91459287278519</v>
      </c>
      <c r="G36" s="48">
        <f t="shared" si="15"/>
        <v>0</v>
      </c>
      <c r="H36" s="48">
        <f t="shared" si="15"/>
        <v>0</v>
      </c>
      <c r="I36" s="48">
        <f t="shared" si="15"/>
        <v>0</v>
      </c>
    </row>
    <row r="37" spans="1:9" x14ac:dyDescent="0.25">
      <c r="A37" s="102">
        <v>4</v>
      </c>
      <c r="B37" s="103"/>
      <c r="C37" s="104"/>
      <c r="D37" s="25" t="s">
        <v>26</v>
      </c>
      <c r="E37" s="7">
        <f>E38</f>
        <v>0</v>
      </c>
      <c r="F37" s="7">
        <f t="shared" ref="F37" si="16">F38</f>
        <v>322.91459287278519</v>
      </c>
      <c r="G37" s="7">
        <f t="shared" ref="G37" si="17">G38</f>
        <v>0</v>
      </c>
      <c r="H37" s="7">
        <f t="shared" ref="H37" si="18">H38</f>
        <v>0</v>
      </c>
      <c r="I37" s="7">
        <f t="shared" ref="I37" si="19">I38</f>
        <v>0</v>
      </c>
    </row>
    <row r="38" spans="1:9" x14ac:dyDescent="0.25">
      <c r="A38" s="93">
        <v>42</v>
      </c>
      <c r="B38" s="94"/>
      <c r="C38" s="95"/>
      <c r="D38" s="25" t="s">
        <v>58</v>
      </c>
      <c r="E38" s="7">
        <v>0</v>
      </c>
      <c r="F38" s="8">
        <f>2433/7.5345</f>
        <v>322.91459287278519</v>
      </c>
      <c r="G38" s="8">
        <v>0</v>
      </c>
      <c r="H38" s="8">
        <v>0</v>
      </c>
      <c r="I38" s="9">
        <v>0</v>
      </c>
    </row>
    <row r="39" spans="1:9" s="50" customFormat="1" x14ac:dyDescent="0.25">
      <c r="A39" s="99" t="s">
        <v>89</v>
      </c>
      <c r="B39" s="100"/>
      <c r="C39" s="101"/>
      <c r="D39" s="40" t="s">
        <v>71</v>
      </c>
      <c r="E39" s="48">
        <f>E40+E43</f>
        <v>1936.6739664211293</v>
      </c>
      <c r="F39" s="48">
        <f t="shared" ref="F39:I39" si="20">F40+F43</f>
        <v>1011.3478001194504</v>
      </c>
      <c r="G39" s="48">
        <f t="shared" si="20"/>
        <v>0</v>
      </c>
      <c r="H39" s="48">
        <f t="shared" si="20"/>
        <v>0</v>
      </c>
      <c r="I39" s="48">
        <f t="shared" si="20"/>
        <v>0</v>
      </c>
    </row>
    <row r="40" spans="1:9" x14ac:dyDescent="0.25">
      <c r="A40" s="102">
        <v>3</v>
      </c>
      <c r="B40" s="103"/>
      <c r="C40" s="104"/>
      <c r="D40" s="25" t="s">
        <v>24</v>
      </c>
      <c r="E40" s="7">
        <f>SUM(E41:E42)</f>
        <v>1406.4689096821287</v>
      </c>
      <c r="F40" s="7">
        <f t="shared" ref="F40:I40" si="21">SUM(F41:F42)</f>
        <v>1011.3478001194504</v>
      </c>
      <c r="G40" s="7">
        <f t="shared" si="21"/>
        <v>0</v>
      </c>
      <c r="H40" s="7">
        <f t="shared" si="21"/>
        <v>0</v>
      </c>
      <c r="I40" s="7">
        <f t="shared" si="21"/>
        <v>0</v>
      </c>
    </row>
    <row r="41" spans="1:9" x14ac:dyDescent="0.25">
      <c r="A41" s="93">
        <v>31</v>
      </c>
      <c r="B41" s="94"/>
      <c r="C41" s="95"/>
      <c r="D41" s="25" t="s">
        <v>25</v>
      </c>
      <c r="E41" s="7">
        <f>3402.42/7.5345</f>
        <v>451.57873780609197</v>
      </c>
      <c r="F41" s="8">
        <f>1159/7.5345</f>
        <v>153.82573495255158</v>
      </c>
      <c r="G41" s="8">
        <v>0</v>
      </c>
      <c r="H41" s="8">
        <v>0</v>
      </c>
      <c r="I41" s="9">
        <v>0</v>
      </c>
    </row>
    <row r="42" spans="1:9" x14ac:dyDescent="0.25">
      <c r="A42" s="93">
        <v>32</v>
      </c>
      <c r="B42" s="94"/>
      <c r="C42" s="95"/>
      <c r="D42" s="25" t="s">
        <v>39</v>
      </c>
      <c r="E42" s="7">
        <f>7194.62/7.5345</f>
        <v>954.89017187603679</v>
      </c>
      <c r="F42" s="8">
        <f>6461/7.5345</f>
        <v>857.52206516689887</v>
      </c>
      <c r="G42" s="8">
        <v>0</v>
      </c>
      <c r="H42" s="8">
        <v>0</v>
      </c>
      <c r="I42" s="9">
        <v>0</v>
      </c>
    </row>
    <row r="43" spans="1:9" x14ac:dyDescent="0.25">
      <c r="A43" s="102">
        <v>4</v>
      </c>
      <c r="B43" s="103"/>
      <c r="C43" s="104"/>
      <c r="D43" s="25" t="s">
        <v>26</v>
      </c>
      <c r="E43" s="7">
        <f>E44</f>
        <v>530.20505673900061</v>
      </c>
      <c r="F43" s="7">
        <f t="shared" ref="F43:I43" si="22">F44</f>
        <v>0</v>
      </c>
      <c r="G43" s="7">
        <f t="shared" si="22"/>
        <v>0</v>
      </c>
      <c r="H43" s="7">
        <f t="shared" si="22"/>
        <v>0</v>
      </c>
      <c r="I43" s="7">
        <f t="shared" si="22"/>
        <v>0</v>
      </c>
    </row>
    <row r="44" spans="1:9" x14ac:dyDescent="0.25">
      <c r="A44" s="93">
        <v>42</v>
      </c>
      <c r="B44" s="94"/>
      <c r="C44" s="95"/>
      <c r="D44" s="25" t="s">
        <v>58</v>
      </c>
      <c r="E44" s="7">
        <f>3994.83/7.5345</f>
        <v>530.20505673900061</v>
      </c>
      <c r="F44" s="8">
        <v>0</v>
      </c>
      <c r="G44" s="8">
        <v>0</v>
      </c>
      <c r="H44" s="8">
        <v>0</v>
      </c>
      <c r="I44" s="9">
        <v>0</v>
      </c>
    </row>
    <row r="45" spans="1:9" s="47" customFormat="1" x14ac:dyDescent="0.25">
      <c r="A45" s="96" t="s">
        <v>109</v>
      </c>
      <c r="B45" s="97"/>
      <c r="C45" s="98"/>
      <c r="D45" s="26" t="s">
        <v>90</v>
      </c>
      <c r="E45" s="46">
        <f>E46</f>
        <v>12086.208772977636</v>
      </c>
      <c r="F45" s="46">
        <f t="shared" ref="F45:I45" si="23">F46</f>
        <v>0</v>
      </c>
      <c r="G45" s="46">
        <f t="shared" si="23"/>
        <v>0</v>
      </c>
      <c r="H45" s="46">
        <f t="shared" si="23"/>
        <v>0</v>
      </c>
      <c r="I45" s="46">
        <f t="shared" si="23"/>
        <v>0</v>
      </c>
    </row>
    <row r="46" spans="1:9" s="47" customFormat="1" x14ac:dyDescent="0.25">
      <c r="A46" s="96" t="s">
        <v>110</v>
      </c>
      <c r="B46" s="97"/>
      <c r="C46" s="98"/>
      <c r="D46" s="26" t="s">
        <v>91</v>
      </c>
      <c r="E46" s="46">
        <f>E47+E50</f>
        <v>12086.208772977636</v>
      </c>
      <c r="F46" s="46">
        <f t="shared" ref="F46:I46" si="24">F47+F50</f>
        <v>0</v>
      </c>
      <c r="G46" s="46">
        <f t="shared" si="24"/>
        <v>0</v>
      </c>
      <c r="H46" s="46">
        <f t="shared" si="24"/>
        <v>0</v>
      </c>
      <c r="I46" s="46">
        <f t="shared" si="24"/>
        <v>0</v>
      </c>
    </row>
    <row r="47" spans="1:9" s="50" customFormat="1" x14ac:dyDescent="0.25">
      <c r="A47" s="99" t="s">
        <v>92</v>
      </c>
      <c r="B47" s="100"/>
      <c r="C47" s="101"/>
      <c r="D47" s="40" t="s">
        <v>81</v>
      </c>
      <c r="E47" s="48">
        <f>E48</f>
        <v>10360.268100072997</v>
      </c>
      <c r="F47" s="48">
        <f t="shared" ref="F47:I47" si="25">F48</f>
        <v>0</v>
      </c>
      <c r="G47" s="48">
        <f t="shared" si="25"/>
        <v>0</v>
      </c>
      <c r="H47" s="48">
        <f t="shared" si="25"/>
        <v>0</v>
      </c>
      <c r="I47" s="48">
        <f t="shared" si="25"/>
        <v>0</v>
      </c>
    </row>
    <row r="48" spans="1:9" x14ac:dyDescent="0.25">
      <c r="A48" s="102">
        <v>3</v>
      </c>
      <c r="B48" s="103"/>
      <c r="C48" s="104"/>
      <c r="D48" s="25" t="s">
        <v>24</v>
      </c>
      <c r="E48" s="7">
        <f>SUM(E49:E49)</f>
        <v>10360.268100072997</v>
      </c>
      <c r="F48" s="7">
        <f t="shared" ref="F48:I48" si="26">SUM(F49:F49)</f>
        <v>0</v>
      </c>
      <c r="G48" s="7">
        <f t="shared" si="26"/>
        <v>0</v>
      </c>
      <c r="H48" s="7">
        <f t="shared" si="26"/>
        <v>0</v>
      </c>
      <c r="I48" s="7">
        <f t="shared" si="26"/>
        <v>0</v>
      </c>
    </row>
    <row r="49" spans="1:9" x14ac:dyDescent="0.25">
      <c r="A49" s="93">
        <v>31</v>
      </c>
      <c r="B49" s="94"/>
      <c r="C49" s="95"/>
      <c r="D49" s="25" t="s">
        <v>25</v>
      </c>
      <c r="E49" s="7">
        <f>78059.44/7.5345</f>
        <v>10360.268100072997</v>
      </c>
      <c r="F49" s="8">
        <v>0</v>
      </c>
      <c r="G49" s="8">
        <v>0</v>
      </c>
      <c r="H49" s="8">
        <v>0</v>
      </c>
      <c r="I49" s="9">
        <v>0</v>
      </c>
    </row>
    <row r="50" spans="1:9" s="50" customFormat="1" x14ac:dyDescent="0.25">
      <c r="A50" s="99" t="s">
        <v>89</v>
      </c>
      <c r="B50" s="100"/>
      <c r="C50" s="101"/>
      <c r="D50" s="40" t="s">
        <v>71</v>
      </c>
      <c r="E50" s="48">
        <f>E51</f>
        <v>1725.9406729046386</v>
      </c>
      <c r="F50" s="48">
        <f t="shared" ref="F50:I50" si="27">F51</f>
        <v>0</v>
      </c>
      <c r="G50" s="48">
        <f t="shared" si="27"/>
        <v>0</v>
      </c>
      <c r="H50" s="48">
        <f t="shared" si="27"/>
        <v>0</v>
      </c>
      <c r="I50" s="48">
        <f t="shared" si="27"/>
        <v>0</v>
      </c>
    </row>
    <row r="51" spans="1:9" x14ac:dyDescent="0.25">
      <c r="A51" s="102">
        <v>3</v>
      </c>
      <c r="B51" s="103"/>
      <c r="C51" s="104"/>
      <c r="D51" s="25" t="s">
        <v>24</v>
      </c>
      <c r="E51" s="7">
        <f>SUM(E52:E52)</f>
        <v>1725.9406729046386</v>
      </c>
      <c r="F51" s="7">
        <f t="shared" ref="F51:I51" si="28">SUM(F52:F52)</f>
        <v>0</v>
      </c>
      <c r="G51" s="7">
        <f t="shared" si="28"/>
        <v>0</v>
      </c>
      <c r="H51" s="7">
        <f t="shared" si="28"/>
        <v>0</v>
      </c>
      <c r="I51" s="7">
        <f t="shared" si="28"/>
        <v>0</v>
      </c>
    </row>
    <row r="52" spans="1:9" x14ac:dyDescent="0.25">
      <c r="A52" s="93">
        <v>31</v>
      </c>
      <c r="B52" s="94"/>
      <c r="C52" s="95"/>
      <c r="D52" s="25" t="s">
        <v>25</v>
      </c>
      <c r="E52" s="7">
        <f>13004.1/7.5345</f>
        <v>1725.9406729046386</v>
      </c>
      <c r="F52" s="8">
        <v>0</v>
      </c>
      <c r="G52" s="8">
        <v>0</v>
      </c>
      <c r="H52" s="8">
        <v>0</v>
      </c>
      <c r="I52" s="9">
        <v>0</v>
      </c>
    </row>
    <row r="53" spans="1:9" s="47" customFormat="1" x14ac:dyDescent="0.25">
      <c r="A53" s="96" t="s">
        <v>111</v>
      </c>
      <c r="B53" s="97"/>
      <c r="C53" s="98"/>
      <c r="D53" s="26" t="s">
        <v>93</v>
      </c>
      <c r="E53" s="46">
        <f>E54</f>
        <v>3768</v>
      </c>
      <c r="F53" s="46">
        <f t="shared" ref="F53:I53" si="29">F54</f>
        <v>3052.6245935363995</v>
      </c>
      <c r="G53" s="46">
        <f t="shared" si="29"/>
        <v>4937.2884730240894</v>
      </c>
      <c r="H53" s="46">
        <f t="shared" si="29"/>
        <v>4937.2884730240894</v>
      </c>
      <c r="I53" s="46">
        <f t="shared" si="29"/>
        <v>4937.2884730240894</v>
      </c>
    </row>
    <row r="54" spans="1:9" s="47" customFormat="1" x14ac:dyDescent="0.25">
      <c r="A54" s="96" t="s">
        <v>112</v>
      </c>
      <c r="B54" s="97"/>
      <c r="C54" s="98"/>
      <c r="D54" s="26" t="s">
        <v>101</v>
      </c>
      <c r="E54" s="46">
        <f>E55</f>
        <v>3768</v>
      </c>
      <c r="F54" s="46">
        <f t="shared" ref="F54:I55" si="30">F55</f>
        <v>3052.6245935363995</v>
      </c>
      <c r="G54" s="46">
        <f t="shared" si="30"/>
        <v>4937.2884730240894</v>
      </c>
      <c r="H54" s="46">
        <f t="shared" si="30"/>
        <v>4937.2884730240894</v>
      </c>
      <c r="I54" s="46">
        <f t="shared" si="30"/>
        <v>4937.2884730240894</v>
      </c>
    </row>
    <row r="55" spans="1:9" s="50" customFormat="1" x14ac:dyDescent="0.25">
      <c r="A55" s="99" t="s">
        <v>94</v>
      </c>
      <c r="B55" s="100"/>
      <c r="C55" s="101"/>
      <c r="D55" s="40" t="s">
        <v>69</v>
      </c>
      <c r="E55" s="48">
        <f>E56</f>
        <v>3768</v>
      </c>
      <c r="F55" s="48">
        <f t="shared" si="30"/>
        <v>3052.6245935363995</v>
      </c>
      <c r="G55" s="48">
        <f t="shared" si="30"/>
        <v>4937.2884730240894</v>
      </c>
      <c r="H55" s="48">
        <f t="shared" si="30"/>
        <v>4937.2884730240894</v>
      </c>
      <c r="I55" s="48">
        <f t="shared" si="30"/>
        <v>4937.2884730240894</v>
      </c>
    </row>
    <row r="56" spans="1:9" x14ac:dyDescent="0.25">
      <c r="A56" s="102">
        <v>3</v>
      </c>
      <c r="B56" s="103"/>
      <c r="C56" s="104"/>
      <c r="D56" s="25" t="s">
        <v>24</v>
      </c>
      <c r="E56" s="7">
        <f>SUM(E57:E58)</f>
        <v>3768</v>
      </c>
      <c r="F56" s="7">
        <f t="shared" ref="F56:I56" si="31">SUM(F57:F58)</f>
        <v>3052.6245935363995</v>
      </c>
      <c r="G56" s="7">
        <f t="shared" si="31"/>
        <v>4937.2884730240894</v>
      </c>
      <c r="H56" s="7">
        <f t="shared" si="31"/>
        <v>4937.2884730240894</v>
      </c>
      <c r="I56" s="7">
        <f t="shared" si="31"/>
        <v>4937.2884730240894</v>
      </c>
    </row>
    <row r="57" spans="1:9" x14ac:dyDescent="0.25">
      <c r="A57" s="93">
        <v>31</v>
      </c>
      <c r="B57" s="94"/>
      <c r="C57" s="95"/>
      <c r="D57" s="25" t="s">
        <v>25</v>
      </c>
      <c r="E57" s="7">
        <v>3558</v>
      </c>
      <c r="F57" s="8">
        <f>21600/7.5345</f>
        <v>2866.8126617559228</v>
      </c>
      <c r="G57" s="8">
        <f>35000/7.5345</f>
        <v>4645.298294511912</v>
      </c>
      <c r="H57" s="8">
        <f t="shared" ref="H57:I57" si="32">35000/7.5345</f>
        <v>4645.298294511912</v>
      </c>
      <c r="I57" s="8">
        <f t="shared" si="32"/>
        <v>4645.298294511912</v>
      </c>
    </row>
    <row r="58" spans="1:9" x14ac:dyDescent="0.25">
      <c r="A58" s="93">
        <v>32</v>
      </c>
      <c r="B58" s="94"/>
      <c r="C58" s="95"/>
      <c r="D58" s="25" t="s">
        <v>39</v>
      </c>
      <c r="E58" s="7">
        <v>210</v>
      </c>
      <c r="F58" s="8">
        <f>1400/7.5345</f>
        <v>185.81193178047647</v>
      </c>
      <c r="G58" s="8">
        <f>2200/7.5345</f>
        <v>291.99017851217729</v>
      </c>
      <c r="H58" s="8">
        <f t="shared" ref="H58:I58" si="33">2200/7.5345</f>
        <v>291.99017851217729</v>
      </c>
      <c r="I58" s="8">
        <f t="shared" si="33"/>
        <v>291.99017851217729</v>
      </c>
    </row>
    <row r="59" spans="1:9" s="47" customFormat="1" x14ac:dyDescent="0.25">
      <c r="A59" s="96" t="s">
        <v>113</v>
      </c>
      <c r="B59" s="97"/>
      <c r="C59" s="98"/>
      <c r="D59" s="26" t="s">
        <v>96</v>
      </c>
      <c r="E59" s="46">
        <f>E60</f>
        <v>328.10936359413364</v>
      </c>
      <c r="F59" s="46">
        <f t="shared" ref="F59:I59" si="34">F60</f>
        <v>0</v>
      </c>
      <c r="G59" s="46">
        <f t="shared" si="34"/>
        <v>0</v>
      </c>
      <c r="H59" s="46">
        <f t="shared" si="34"/>
        <v>0</v>
      </c>
      <c r="I59" s="46">
        <f t="shared" si="34"/>
        <v>0</v>
      </c>
    </row>
    <row r="60" spans="1:9" s="47" customFormat="1" x14ac:dyDescent="0.25">
      <c r="A60" s="96" t="s">
        <v>114</v>
      </c>
      <c r="B60" s="97"/>
      <c r="C60" s="98"/>
      <c r="D60" s="26" t="s">
        <v>95</v>
      </c>
      <c r="E60" s="46">
        <f>E61+E67</f>
        <v>328.10936359413364</v>
      </c>
      <c r="F60" s="46">
        <f t="shared" ref="F60:H60" si="35">F61+F67</f>
        <v>0</v>
      </c>
      <c r="G60" s="46">
        <f t="shared" si="35"/>
        <v>0</v>
      </c>
      <c r="H60" s="46">
        <f t="shared" si="35"/>
        <v>0</v>
      </c>
      <c r="I60" s="46">
        <f>I61</f>
        <v>0</v>
      </c>
    </row>
    <row r="61" spans="1:9" s="50" customFormat="1" x14ac:dyDescent="0.25">
      <c r="A61" s="99" t="s">
        <v>94</v>
      </c>
      <c r="B61" s="100"/>
      <c r="C61" s="101"/>
      <c r="D61" s="40" t="s">
        <v>69</v>
      </c>
      <c r="E61" s="48">
        <f>E62+E65</f>
        <v>328.10936359413364</v>
      </c>
      <c r="F61" s="48">
        <f t="shared" ref="F61:I61" si="36">F62+F65</f>
        <v>0</v>
      </c>
      <c r="G61" s="48">
        <f t="shared" si="36"/>
        <v>0</v>
      </c>
      <c r="H61" s="48">
        <f t="shared" si="36"/>
        <v>0</v>
      </c>
      <c r="I61" s="48">
        <f t="shared" si="36"/>
        <v>0</v>
      </c>
    </row>
    <row r="62" spans="1:9" x14ac:dyDescent="0.25">
      <c r="A62" s="102">
        <v>3</v>
      </c>
      <c r="B62" s="103"/>
      <c r="C62" s="104"/>
      <c r="D62" s="25" t="s">
        <v>24</v>
      </c>
      <c r="E62" s="7">
        <f>SUM(E63:E64)</f>
        <v>328.10936359413364</v>
      </c>
      <c r="F62" s="7">
        <f t="shared" ref="F62:I62" si="37">SUM(F63:F64)</f>
        <v>0</v>
      </c>
      <c r="G62" s="7">
        <f t="shared" si="37"/>
        <v>0</v>
      </c>
      <c r="H62" s="7">
        <f t="shared" si="37"/>
        <v>0</v>
      </c>
      <c r="I62" s="7">
        <f t="shared" si="37"/>
        <v>0</v>
      </c>
    </row>
    <row r="63" spans="1:9" x14ac:dyDescent="0.25">
      <c r="A63" s="93">
        <v>31</v>
      </c>
      <c r="B63" s="94"/>
      <c r="C63" s="95"/>
      <c r="D63" s="25" t="s">
        <v>25</v>
      </c>
      <c r="E63" s="7">
        <f>2323.82/7.5345</f>
        <v>308.42391665007631</v>
      </c>
      <c r="F63" s="8">
        <v>0</v>
      </c>
      <c r="G63" s="8">
        <v>0</v>
      </c>
      <c r="H63" s="8">
        <v>0</v>
      </c>
      <c r="I63" s="9">
        <v>0</v>
      </c>
    </row>
    <row r="64" spans="1:9" x14ac:dyDescent="0.25">
      <c r="A64" s="93">
        <v>32</v>
      </c>
      <c r="B64" s="94"/>
      <c r="C64" s="95"/>
      <c r="D64" s="25" t="s">
        <v>39</v>
      </c>
      <c r="E64" s="7">
        <f>148.32/7.5345</f>
        <v>19.685446944057333</v>
      </c>
      <c r="F64" s="8">
        <v>0</v>
      </c>
      <c r="G64" s="8">
        <v>0</v>
      </c>
      <c r="H64" s="8">
        <v>0</v>
      </c>
      <c r="I64" s="9">
        <v>0</v>
      </c>
    </row>
    <row r="67" spans="1:9" x14ac:dyDescent="0.25">
      <c r="A67" t="s">
        <v>115</v>
      </c>
      <c r="I67" s="62" t="s">
        <v>118</v>
      </c>
    </row>
    <row r="68" spans="1:9" x14ac:dyDescent="0.25">
      <c r="A68" t="s">
        <v>116</v>
      </c>
      <c r="I68" s="62" t="s">
        <v>119</v>
      </c>
    </row>
    <row r="69" spans="1:9" ht="18.75" customHeight="1" x14ac:dyDescent="0.25">
      <c r="A69" t="s">
        <v>117</v>
      </c>
      <c r="I69" s="68"/>
    </row>
  </sheetData>
  <mergeCells count="61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33:C33"/>
    <mergeCell ref="A12:C12"/>
    <mergeCell ref="A13:C13"/>
    <mergeCell ref="A14:C14"/>
    <mergeCell ref="A15:C15"/>
    <mergeCell ref="A16:C16"/>
    <mergeCell ref="A17:C17"/>
    <mergeCell ref="A19:C19"/>
    <mergeCell ref="A20:C20"/>
    <mergeCell ref="A21:C21"/>
    <mergeCell ref="A22:C22"/>
    <mergeCell ref="A23:C23"/>
    <mergeCell ref="A40:C40"/>
    <mergeCell ref="A41:C41"/>
    <mergeCell ref="A28:C28"/>
    <mergeCell ref="A29:C29"/>
    <mergeCell ref="A30:C30"/>
    <mergeCell ref="A31:C31"/>
    <mergeCell ref="A39:C39"/>
    <mergeCell ref="A34:C34"/>
    <mergeCell ref="A35:C35"/>
    <mergeCell ref="A36:C36"/>
    <mergeCell ref="A37:C37"/>
    <mergeCell ref="A38:C38"/>
    <mergeCell ref="A24:C24"/>
    <mergeCell ref="A25:C25"/>
    <mergeCell ref="A26:C26"/>
    <mergeCell ref="A27:C27"/>
    <mergeCell ref="A32:C32"/>
    <mergeCell ref="A42:C42"/>
    <mergeCell ref="A43:C43"/>
    <mergeCell ref="A44:C44"/>
    <mergeCell ref="A45:C45"/>
    <mergeCell ref="A46:C46"/>
    <mergeCell ref="A50:C50"/>
    <mergeCell ref="A51:C51"/>
    <mergeCell ref="A52:C52"/>
    <mergeCell ref="A53:C53"/>
    <mergeCell ref="A47:C47"/>
    <mergeCell ref="A48:C48"/>
    <mergeCell ref="A49:C49"/>
    <mergeCell ref="A64:C64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Margareta</cp:lastModifiedBy>
  <cp:lastPrinted>2022-09-20T07:31:07Z</cp:lastPrinted>
  <dcterms:created xsi:type="dcterms:W3CDTF">2022-08-12T12:51:27Z</dcterms:created>
  <dcterms:modified xsi:type="dcterms:W3CDTF">2022-11-29T06:05:13Z</dcterms:modified>
</cp:coreProperties>
</file>