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VTA\Financije i računovodstvo\"/>
    </mc:Choice>
  </mc:AlternateContent>
  <xr:revisionPtr revIDLastSave="0" documentId="13_ncr:1_{7B975C02-1462-4770-AAD7-C17F93CABA7B}" xr6:coauthVersionLast="47" xr6:coauthVersionMax="47" xr10:uidLastSave="{00000000-0000-0000-0000-000000000000}"/>
  <bookViews>
    <workbookView xWindow="-120" yWindow="-120" windowWidth="24240" windowHeight="13140" activeTab="6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8" l="1"/>
  <c r="E33" i="8"/>
  <c r="D33" i="8"/>
  <c r="C33" i="8"/>
  <c r="B33" i="8"/>
  <c r="F28" i="10"/>
  <c r="H15" i="7"/>
  <c r="I10" i="7"/>
  <c r="I9" i="7" s="1"/>
  <c r="H10" i="7"/>
  <c r="H9" i="7" s="1"/>
  <c r="G10" i="7"/>
  <c r="G9" i="7" s="1"/>
  <c r="I27" i="7"/>
  <c r="H27" i="7"/>
  <c r="G27" i="7"/>
  <c r="I33" i="7"/>
  <c r="I32" i="7" s="1"/>
  <c r="I31" i="7" s="1"/>
  <c r="H33" i="7"/>
  <c r="H32" i="7" s="1"/>
  <c r="H31" i="7" s="1"/>
  <c r="G33" i="7"/>
  <c r="G32" i="7" s="1"/>
  <c r="G31" i="7" s="1"/>
  <c r="I35" i="7"/>
  <c r="H35" i="7"/>
  <c r="G35" i="7"/>
  <c r="G34" i="7" s="1"/>
  <c r="I38" i="7"/>
  <c r="I37" i="7" s="1"/>
  <c r="I36" i="7" s="1"/>
  <c r="H38" i="7"/>
  <c r="H37" i="7" s="1"/>
  <c r="H36" i="7" s="1"/>
  <c r="G38" i="7"/>
  <c r="I42" i="7"/>
  <c r="I41" i="7" s="1"/>
  <c r="I40" i="7" s="1"/>
  <c r="I39" i="7" s="1"/>
  <c r="H42" i="7"/>
  <c r="G42" i="7"/>
  <c r="G41" i="7" s="1"/>
  <c r="G40" i="7" s="1"/>
  <c r="G39" i="7" s="1"/>
  <c r="H41" i="7"/>
  <c r="H40" i="7" s="1"/>
  <c r="H39" i="7" s="1"/>
  <c r="I48" i="7"/>
  <c r="I47" i="7" s="1"/>
  <c r="I46" i="7" s="1"/>
  <c r="I45" i="7" s="1"/>
  <c r="I44" i="7" s="1"/>
  <c r="H48" i="7"/>
  <c r="H47" i="7" s="1"/>
  <c r="H46" i="7" s="1"/>
  <c r="H45" i="7" s="1"/>
  <c r="H44" i="7" s="1"/>
  <c r="G48" i="7"/>
  <c r="G47" i="7" s="1"/>
  <c r="G46" i="7" s="1"/>
  <c r="G45" i="7" s="1"/>
  <c r="G44" i="7" s="1"/>
  <c r="I53" i="7"/>
  <c r="I52" i="7" s="1"/>
  <c r="I51" i="7" s="1"/>
  <c r="I50" i="7" s="1"/>
  <c r="I49" i="7" s="1"/>
  <c r="H53" i="7"/>
  <c r="H52" i="7" s="1"/>
  <c r="H51" i="7" s="1"/>
  <c r="H50" i="7" s="1"/>
  <c r="H49" i="7" s="1"/>
  <c r="G53" i="7"/>
  <c r="G52" i="7"/>
  <c r="E8" i="7"/>
  <c r="E53" i="7"/>
  <c r="E52" i="7"/>
  <c r="E51" i="7" s="1"/>
  <c r="E50" i="7" s="1"/>
  <c r="E49" i="7" s="1"/>
  <c r="E48" i="7"/>
  <c r="E47" i="7"/>
  <c r="E42" i="7"/>
  <c r="E41" i="7"/>
  <c r="E40" i="7" s="1"/>
  <c r="E39" i="7" s="1"/>
  <c r="E38" i="7"/>
  <c r="E37" i="7" s="1"/>
  <c r="E36" i="7" s="1"/>
  <c r="E35" i="7"/>
  <c r="E33" i="7"/>
  <c r="E32" i="7"/>
  <c r="E31" i="7" s="1"/>
  <c r="E24" i="7"/>
  <c r="E23" i="7"/>
  <c r="E20" i="7"/>
  <c r="E19" i="7" s="1"/>
  <c r="E17" i="7"/>
  <c r="E15" i="7" s="1"/>
  <c r="E13" i="7"/>
  <c r="E12" i="7"/>
  <c r="E11" i="7"/>
  <c r="F51" i="7"/>
  <c r="F50" i="7" s="1"/>
  <c r="F49" i="7" s="1"/>
  <c r="G51" i="7"/>
  <c r="G50" i="7" s="1"/>
  <c r="G49" i="7" s="1"/>
  <c r="F46" i="7"/>
  <c r="F45" i="7" s="1"/>
  <c r="F44" i="7" s="1"/>
  <c r="F40" i="7"/>
  <c r="F39" i="7" s="1"/>
  <c r="F37" i="7"/>
  <c r="F36" i="7" s="1"/>
  <c r="G37" i="7"/>
  <c r="G36" i="7" s="1"/>
  <c r="F34" i="7"/>
  <c r="H34" i="7"/>
  <c r="I34" i="7"/>
  <c r="E34" i="7"/>
  <c r="F31" i="7"/>
  <c r="F22" i="7"/>
  <c r="F21" i="7" s="1"/>
  <c r="E22" i="7"/>
  <c r="E21" i="7" s="1"/>
  <c r="F19" i="7"/>
  <c r="G19" i="7"/>
  <c r="H19" i="7"/>
  <c r="I19" i="7"/>
  <c r="F15" i="7"/>
  <c r="G15" i="7"/>
  <c r="I15" i="7"/>
  <c r="F10" i="7"/>
  <c r="F9" i="7" s="1"/>
  <c r="B14" i="5"/>
  <c r="B12" i="5"/>
  <c r="B11" i="5"/>
  <c r="C13" i="5"/>
  <c r="D13" i="5"/>
  <c r="E13" i="5"/>
  <c r="F13" i="5"/>
  <c r="F10" i="5" s="1"/>
  <c r="B13" i="5"/>
  <c r="C11" i="5"/>
  <c r="D11" i="5"/>
  <c r="E11" i="5"/>
  <c r="F11" i="5"/>
  <c r="C14" i="8"/>
  <c r="B23" i="8"/>
  <c r="C29" i="8"/>
  <c r="C23" i="8" s="1"/>
  <c r="D29" i="8"/>
  <c r="E29" i="8"/>
  <c r="F29" i="8"/>
  <c r="B29" i="8"/>
  <c r="C26" i="8"/>
  <c r="D26" i="8"/>
  <c r="E26" i="8"/>
  <c r="F26" i="8"/>
  <c r="B26" i="8"/>
  <c r="C24" i="8"/>
  <c r="D24" i="8"/>
  <c r="E24" i="8"/>
  <c r="F24" i="8"/>
  <c r="B24" i="8"/>
  <c r="B10" i="8"/>
  <c r="C15" i="8"/>
  <c r="D15" i="8"/>
  <c r="E15" i="8"/>
  <c r="F15" i="8"/>
  <c r="B15" i="8"/>
  <c r="C13" i="8"/>
  <c r="C10" i="8" s="1"/>
  <c r="D13" i="8"/>
  <c r="E13" i="8"/>
  <c r="F13" i="8"/>
  <c r="B13" i="8"/>
  <c r="C11" i="8"/>
  <c r="D11" i="8"/>
  <c r="E11" i="8"/>
  <c r="F11" i="8"/>
  <c r="B11" i="8"/>
  <c r="B32" i="8"/>
  <c r="B31" i="8"/>
  <c r="B30" i="8"/>
  <c r="B28" i="8"/>
  <c r="B27" i="8"/>
  <c r="B25" i="8"/>
  <c r="B17" i="8"/>
  <c r="B16" i="8"/>
  <c r="B14" i="8"/>
  <c r="B12" i="8"/>
  <c r="D27" i="3"/>
  <c r="D25" i="3"/>
  <c r="D22" i="3" s="1"/>
  <c r="D24" i="3"/>
  <c r="D23" i="3"/>
  <c r="D15" i="3"/>
  <c r="D14" i="3"/>
  <c r="D13" i="3"/>
  <c r="D12" i="3"/>
  <c r="E26" i="3"/>
  <c r="F26" i="3"/>
  <c r="G26" i="3"/>
  <c r="H26" i="3"/>
  <c r="D26" i="3"/>
  <c r="E22" i="3"/>
  <c r="H30" i="7" l="1"/>
  <c r="H43" i="7"/>
  <c r="D10" i="5"/>
  <c r="E10" i="5"/>
  <c r="F23" i="8"/>
  <c r="E23" i="8"/>
  <c r="D23" i="8"/>
  <c r="F10" i="8"/>
  <c r="E10" i="8"/>
  <c r="D10" i="8"/>
  <c r="F43" i="7"/>
  <c r="E10" i="7"/>
  <c r="E9" i="7" s="1"/>
  <c r="I43" i="7"/>
  <c r="E46" i="7"/>
  <c r="E45" i="7" s="1"/>
  <c r="E44" i="7" s="1"/>
  <c r="F30" i="7"/>
  <c r="F29" i="7" s="1"/>
  <c r="F28" i="7" s="1"/>
  <c r="F26" i="7" s="1"/>
  <c r="F25" i="7" s="1"/>
  <c r="F8" i="7" s="1"/>
  <c r="G43" i="7"/>
  <c r="H14" i="7"/>
  <c r="E43" i="7"/>
  <c r="H29" i="7"/>
  <c r="H28" i="7" s="1"/>
  <c r="H26" i="7" s="1"/>
  <c r="H25" i="7" s="1"/>
  <c r="I30" i="7"/>
  <c r="I29" i="7" s="1"/>
  <c r="I28" i="7" s="1"/>
  <c r="I26" i="7" s="1"/>
  <c r="I25" i="7" s="1"/>
  <c r="E14" i="7"/>
  <c r="E7" i="7" s="1"/>
  <c r="E30" i="7"/>
  <c r="E29" i="7" s="1"/>
  <c r="E28" i="7" s="1"/>
  <c r="E25" i="7" s="1"/>
  <c r="I14" i="7"/>
  <c r="G30" i="7"/>
  <c r="G29" i="7" s="1"/>
  <c r="G28" i="7" s="1"/>
  <c r="G26" i="7" s="1"/>
  <c r="G25" i="7" s="1"/>
  <c r="G14" i="7"/>
  <c r="F14" i="7"/>
  <c r="C10" i="5"/>
  <c r="B10" i="5"/>
  <c r="E21" i="3"/>
  <c r="D21" i="3"/>
  <c r="G24" i="7" l="1"/>
  <c r="G23" i="7" s="1"/>
  <c r="G22" i="7" s="1"/>
  <c r="G21" i="7" s="1"/>
  <c r="G8" i="7" s="1"/>
  <c r="G7" i="7" s="1"/>
  <c r="G6" i="7" s="1"/>
  <c r="H8" i="7"/>
  <c r="H7" i="7" s="1"/>
  <c r="H6" i="7" s="1"/>
  <c r="H24" i="7"/>
  <c r="H23" i="7" s="1"/>
  <c r="H22" i="7" s="1"/>
  <c r="H21" i="7" s="1"/>
  <c r="I24" i="7"/>
  <c r="I23" i="7" s="1"/>
  <c r="I22" i="7" s="1"/>
  <c r="I21" i="7" s="1"/>
  <c r="I8" i="7" s="1"/>
  <c r="I7" i="7" s="1"/>
  <c r="I6" i="7" s="1"/>
  <c r="F7" i="7"/>
  <c r="F6" i="7" s="1"/>
  <c r="E6" i="7"/>
  <c r="E11" i="3" l="1"/>
  <c r="E10" i="3" s="1"/>
  <c r="F11" i="3"/>
  <c r="F10" i="3" s="1"/>
  <c r="G11" i="3"/>
  <c r="G10" i="3" s="1"/>
  <c r="H11" i="3"/>
  <c r="H10" i="3" s="1"/>
  <c r="D11" i="3"/>
  <c r="D10" i="3" s="1"/>
  <c r="F29" i="10" l="1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I14" i="10" l="1"/>
  <c r="I22" i="10" s="1"/>
  <c r="I28" i="10" s="1"/>
  <c r="I29" i="10" s="1"/>
  <c r="H14" i="10"/>
  <c r="H22" i="10" s="1"/>
  <c r="H28" i="10" s="1"/>
  <c r="H29" i="10" s="1"/>
  <c r="G14" i="10"/>
  <c r="G22" i="10" s="1"/>
  <c r="G28" i="10" s="1"/>
  <c r="G29" i="10" s="1"/>
  <c r="F14" i="10"/>
  <c r="F22" i="10" s="1"/>
  <c r="J14" i="10"/>
  <c r="J22" i="10" s="1"/>
  <c r="J28" i="10" s="1"/>
  <c r="J29" i="10" s="1"/>
  <c r="G22" i="3" l="1"/>
  <c r="G21" i="3" s="1"/>
  <c r="F22" i="3"/>
  <c r="F21" i="3" s="1"/>
  <c r="H22" i="3"/>
  <c r="H21" i="3" s="1"/>
</calcChain>
</file>

<file path=xl/sharedStrings.xml><?xml version="1.0" encoding="utf-8"?>
<sst xmlns="http://schemas.openxmlformats.org/spreadsheetml/2006/main" count="244" uniqueCount="120">
  <si>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</si>
  <si>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</si>
  <si>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</si>
  <si>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</si>
  <si>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</si>
  <si>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</si>
  <si>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</si>
  <si>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</si>
  <si>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</si>
  <si>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</si>
  <si>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</si>
  <si>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</si>
  <si>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</si>
  <si>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</si>
  <si>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01 Opće javne usluge</t>
  </si>
  <si>
    <t>013 Opće usluge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</si>
  <si>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</si>
  <si>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</si>
  <si>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</si>
  <si>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</si>
  <si>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</si>
  <si>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</si>
  <si>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</si>
  <si>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</si>
  <si>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</si>
  <si>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</si>
  <si>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</si>
  <si>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</si>
  <si>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</si>
  <si>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</si>
  <si>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</si>
  <si>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</si>
  <si>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</si>
  <si>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</si>
  <si>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</si>
  <si>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</si>
  <si>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</si>
  <si>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</si>
  <si>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</si>
  <si>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</si>
  <si>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</si>
  <si>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</si>
  <si>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</si>
  <si>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</si>
  <si>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</si>
  <si>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</si>
  <si>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</si>
  <si>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</si>
  <si>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</si>
  <si>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</si>
  <si>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</si>
  <si>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</si>
  <si>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</si>
  <si>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</si>
  <si>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</si>
  <si>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</si>
  <si>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</si>
  <si>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</si>
  <si>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</si>
  <si>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</si>
  <si>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</si>
  <si>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</si>
  <si>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</si>
  <si>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</si>
  <si>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</si>
  <si>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</si>
  <si>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</si>
  <si>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</si>
  <si>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</si>
  <si>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</si>
  <si>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</si>
  <si>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</si>
  <si>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</si>
  <si>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Pomoći za proračunske korisnike</t>
  </si>
  <si>
    <t>Pomoći iz međ. Organizacija, inst. i tijela EU za PK</t>
  </si>
  <si>
    <t>Prihodi od imovine</t>
  </si>
  <si>
    <t>Vlastiti prihodi proračunskog korisnika</t>
  </si>
  <si>
    <t>Prihodi od prodaje proizvoda i robe te pruženih usluga, prihodi od donacija te povrati po protestiranim jamstvima</t>
  </si>
  <si>
    <t>Prihodi iz proračuna</t>
  </si>
  <si>
    <t>Financijski rashodi</t>
  </si>
  <si>
    <t>1.1. PRIHODI IZ PRORAČUNA</t>
  </si>
  <si>
    <t>2. VLASTITI PRIHODI</t>
  </si>
  <si>
    <t>1. OPĆI PRIHODI I PRIMICI</t>
  </si>
  <si>
    <t>2.2. VLASTITI PRIHODI PRORAČUNSKOG KORISNIKA</t>
  </si>
  <si>
    <t>4. POMOĆI</t>
  </si>
  <si>
    <t>4.5. POMOĆI ZA PRORAČUNSKE KORISNIKE</t>
  </si>
  <si>
    <t>4.7. POMOĆI IZ MEĐ. ORGANIZACIJA, INST. I TIJELA EU ZA PK</t>
  </si>
  <si>
    <t>2.3. VLASTITI PRIHODI P.K.- VIŠAK</t>
  </si>
  <si>
    <t>4.6. POMOĆI ZA P.K.- VIŠAK</t>
  </si>
  <si>
    <t>06 Usluge unapređenja stanovanja i zajednice</t>
  </si>
  <si>
    <t>062 Razvoj zajednice</t>
  </si>
  <si>
    <t>PROGRAM A06 1000</t>
  </si>
  <si>
    <t>OPĆI RAZVOJ GOSPODARSTVA</t>
  </si>
  <si>
    <t>Aktivnost A06 1000A100004</t>
  </si>
  <si>
    <t>TEKUĆI RASHODI RAZVOJNE AGENCIJE VTA</t>
  </si>
  <si>
    <t>Izvor financiranja 1.1.</t>
  </si>
  <si>
    <t>Izvor financiranja 2.2.</t>
  </si>
  <si>
    <t>Izvor financiranja 2.3.</t>
  </si>
  <si>
    <t>Vlastiti prihodi P.K. - VIŠAK</t>
  </si>
  <si>
    <t>PROGRAM A07 1007</t>
  </si>
  <si>
    <t xml:space="preserve">INTERREG V-A PROGRAM SURADNJE MAĐARSKA-HRVATSKA 2014.-2020. </t>
  </si>
  <si>
    <t>Tekući projekt A07 1007T100001</t>
  </si>
  <si>
    <t>PREKOGRANIČNA SURADNJA I INTEGRACIJA UČENIKA S TEŠKOĆAMA-2M2C</t>
  </si>
  <si>
    <t>Izvor financiranja 4.6.</t>
  </si>
  <si>
    <t>Pomoći za P.K. - VIŠAK</t>
  </si>
  <si>
    <t>Izvor financiranja 4.7.</t>
  </si>
  <si>
    <t>PROGRAM A08 1009</t>
  </si>
  <si>
    <t>POMAGAČI U NASTAVI</t>
  </si>
  <si>
    <t>Tekući projekt A08 1009T100004</t>
  </si>
  <si>
    <t>Izvor financiranja 4.5.</t>
  </si>
  <si>
    <t>KORAK U ŽIVOT JEDN. MOGUĆNOSTI-FAZA IV</t>
  </si>
  <si>
    <t>KORAK U ŽIVOT JEDN. MOGUĆNOSTI-FAZA V</t>
  </si>
  <si>
    <t>Izvor financiranja 9.3.</t>
  </si>
  <si>
    <t>9. PRENESENI VIŠAK/MANJAK</t>
  </si>
  <si>
    <t>9.3. VLASTITI PRIHODI PK VIŠAK</t>
  </si>
  <si>
    <t>KLASA: 400-02/23-01/01</t>
  </si>
  <si>
    <t>Virovitica, 10. listopada 2023.</t>
  </si>
  <si>
    <t>URBROJ: 2189-85-23-1</t>
  </si>
  <si>
    <t>Ravnateljica</t>
  </si>
  <si>
    <t>Tihana Harmund, dipl. 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</si>
</sst>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7" fillId="2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0" fontId="8" fillId="2" borderId="3" xfId="0" applyFont="1" applyFill="1" applyBorder="1" applyAlignment="1">
      <alignment horizontal="left" vertical="center"/>
    </xf>
    <xf numFmtId="3" fontId="1" fillId="0" borderId="0" xfId="0" applyNumberFormat="1" applyFont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F30" sqref="F30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82" t="s">
        <v>32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82" t="s">
        <v>19</v>
      </c>
      <c r="B3" s="82"/>
      <c r="C3" s="82"/>
      <c r="D3" s="82"/>
      <c r="E3" s="82"/>
      <c r="F3" s="82"/>
      <c r="G3" s="82"/>
      <c r="H3" s="82"/>
      <c r="I3" s="95"/>
      <c r="J3" s="95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82" t="s">
        <v>25</v>
      </c>
      <c r="B5" s="83"/>
      <c r="C5" s="83"/>
      <c r="D5" s="83"/>
      <c r="E5" s="83"/>
      <c r="F5" s="83"/>
      <c r="G5" s="83"/>
      <c r="H5" s="83"/>
      <c r="I5" s="83"/>
      <c r="J5" s="83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37</v>
      </c>
    </row>
    <row r="7" spans="1:10" ht="25.5" x14ac:dyDescent="0.25">
      <c r="A7" s="28"/>
      <c r="B7" s="29"/>
      <c r="C7" s="29"/>
      <c r="D7" s="30"/>
      <c r="E7" s="31"/>
      <c r="F7" s="3" t="s">
        <v>38</v>
      </c>
      <c r="G7" s="3" t="s">
        <v>36</v>
      </c>
      <c r="H7" s="3" t="s">
        <v>46</v>
      </c>
      <c r="I7" s="3" t="s">
        <v>47</v>
      </c>
      <c r="J7" s="3" t="s">
        <v>48</v>
      </c>
    </row>
    <row r="8" spans="1:10" x14ac:dyDescent="0.25">
      <c r="A8" s="87" t="s">
        <v>0</v>
      </c>
      <c r="B8" s="81"/>
      <c r="C8" s="81"/>
      <c r="D8" s="81"/>
      <c r="E8" s="96"/>
      <c r="F8" s="60">
        <f>F9+F10</f>
        <v>453155.22</v>
      </c>
      <c r="G8" s="60">
        <f t="shared" ref="G8:J8" si="0">G9+G10</f>
        <v>486582</v>
      </c>
      <c r="H8" s="60">
        <f t="shared" si="0"/>
        <v>520000</v>
      </c>
      <c r="I8" s="60">
        <f t="shared" si="0"/>
        <v>523950</v>
      </c>
      <c r="J8" s="60">
        <f t="shared" si="0"/>
        <v>518950</v>
      </c>
    </row>
    <row r="9" spans="1:10" x14ac:dyDescent="0.25">
      <c r="A9" s="97" t="s">
        <v>40</v>
      </c>
      <c r="B9" s="98"/>
      <c r="C9" s="98"/>
      <c r="D9" s="98"/>
      <c r="E9" s="94"/>
      <c r="F9" s="61">
        <v>453155.22</v>
      </c>
      <c r="G9" s="61">
        <v>486582</v>
      </c>
      <c r="H9" s="61">
        <v>520000</v>
      </c>
      <c r="I9" s="61">
        <v>523950</v>
      </c>
      <c r="J9" s="61">
        <v>518950</v>
      </c>
    </row>
    <row r="10" spans="1:10" x14ac:dyDescent="0.25">
      <c r="A10" s="93" t="s">
        <v>41</v>
      </c>
      <c r="B10" s="94"/>
      <c r="C10" s="94"/>
      <c r="D10" s="94"/>
      <c r="E10" s="94"/>
      <c r="F10" s="61">
        <v>0</v>
      </c>
      <c r="G10" s="61">
        <v>0</v>
      </c>
      <c r="H10" s="61">
        <v>0</v>
      </c>
      <c r="I10" s="61">
        <v>0</v>
      </c>
      <c r="J10" s="61">
        <v>0</v>
      </c>
    </row>
    <row r="11" spans="1:10" x14ac:dyDescent="0.25">
      <c r="A11" s="33" t="s">
        <v>1</v>
      </c>
      <c r="B11" s="42"/>
      <c r="C11" s="42"/>
      <c r="D11" s="42"/>
      <c r="E11" s="42"/>
      <c r="F11" s="60">
        <f>F12+F13</f>
        <v>457535.47000000003</v>
      </c>
      <c r="G11" s="60">
        <f t="shared" ref="G11:J11" si="1">G12+G13</f>
        <v>486979</v>
      </c>
      <c r="H11" s="60">
        <f t="shared" si="1"/>
        <v>520000</v>
      </c>
      <c r="I11" s="60">
        <f t="shared" si="1"/>
        <v>523950</v>
      </c>
      <c r="J11" s="60">
        <f t="shared" si="1"/>
        <v>518950</v>
      </c>
    </row>
    <row r="12" spans="1:10" x14ac:dyDescent="0.25">
      <c r="A12" s="99" t="s">
        <v>42</v>
      </c>
      <c r="B12" s="98"/>
      <c r="C12" s="98"/>
      <c r="D12" s="98"/>
      <c r="E12" s="98"/>
      <c r="F12" s="61">
        <v>456112.02</v>
      </c>
      <c r="G12" s="61">
        <v>484792</v>
      </c>
      <c r="H12" s="61">
        <v>517000</v>
      </c>
      <c r="I12" s="61">
        <v>521950</v>
      </c>
      <c r="J12" s="62">
        <v>514950</v>
      </c>
    </row>
    <row r="13" spans="1:10" x14ac:dyDescent="0.25">
      <c r="A13" s="93" t="s">
        <v>43</v>
      </c>
      <c r="B13" s="94"/>
      <c r="C13" s="94"/>
      <c r="D13" s="94"/>
      <c r="E13" s="94"/>
      <c r="F13" s="61">
        <v>1423.45</v>
      </c>
      <c r="G13" s="61">
        <v>2187</v>
      </c>
      <c r="H13" s="61">
        <v>3000</v>
      </c>
      <c r="I13" s="61">
        <v>2000</v>
      </c>
      <c r="J13" s="62">
        <v>4000</v>
      </c>
    </row>
    <row r="14" spans="1:10" x14ac:dyDescent="0.25">
      <c r="A14" s="80" t="s">
        <v>65</v>
      </c>
      <c r="B14" s="81"/>
      <c r="C14" s="81"/>
      <c r="D14" s="81"/>
      <c r="E14" s="81"/>
      <c r="F14" s="60">
        <f>F8-F11</f>
        <v>-4380.2500000000582</v>
      </c>
      <c r="G14" s="60">
        <f t="shared" ref="G14:J14" si="2">G8-G11</f>
        <v>-397</v>
      </c>
      <c r="H14" s="60">
        <f t="shared" si="2"/>
        <v>0</v>
      </c>
      <c r="I14" s="60">
        <f t="shared" si="2"/>
        <v>0</v>
      </c>
      <c r="J14" s="60">
        <f t="shared" si="2"/>
        <v>0</v>
      </c>
    </row>
    <row r="15" spans="1:10" ht="18" x14ac:dyDescent="0.25">
      <c r="A15" s="4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82" t="s">
        <v>26</v>
      </c>
      <c r="B16" s="83"/>
      <c r="C16" s="83"/>
      <c r="D16" s="83"/>
      <c r="E16" s="83"/>
      <c r="F16" s="83"/>
      <c r="G16" s="83"/>
      <c r="H16" s="83"/>
      <c r="I16" s="83"/>
      <c r="J16" s="83"/>
    </row>
    <row r="17" spans="1:10" ht="18" x14ac:dyDescent="0.25">
      <c r="A17" s="4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8"/>
      <c r="B18" s="29"/>
      <c r="C18" s="29"/>
      <c r="D18" s="30"/>
      <c r="E18" s="31"/>
      <c r="F18" s="3" t="s">
        <v>38</v>
      </c>
      <c r="G18" s="3" t="s">
        <v>36</v>
      </c>
      <c r="H18" s="3" t="s">
        <v>46</v>
      </c>
      <c r="I18" s="3" t="s">
        <v>47</v>
      </c>
      <c r="J18" s="3" t="s">
        <v>48</v>
      </c>
    </row>
    <row r="19" spans="1:10" x14ac:dyDescent="0.25">
      <c r="A19" s="93" t="s">
        <v>44</v>
      </c>
      <c r="B19" s="94"/>
      <c r="C19" s="94"/>
      <c r="D19" s="94"/>
      <c r="E19" s="94"/>
      <c r="F19" s="61">
        <v>0</v>
      </c>
      <c r="G19" s="61">
        <v>0</v>
      </c>
      <c r="H19" s="61">
        <v>0</v>
      </c>
      <c r="I19" s="61">
        <v>0</v>
      </c>
      <c r="J19" s="61">
        <v>0</v>
      </c>
    </row>
    <row r="20" spans="1:10" x14ac:dyDescent="0.25">
      <c r="A20" s="93" t="s">
        <v>45</v>
      </c>
      <c r="B20" s="94"/>
      <c r="C20" s="94"/>
      <c r="D20" s="94"/>
      <c r="E20" s="94"/>
      <c r="F20" s="61">
        <v>0</v>
      </c>
      <c r="G20" s="61">
        <v>0</v>
      </c>
      <c r="H20" s="61">
        <v>0</v>
      </c>
      <c r="I20" s="61">
        <v>0</v>
      </c>
      <c r="J20" s="61">
        <v>0</v>
      </c>
    </row>
    <row r="21" spans="1:10" x14ac:dyDescent="0.25">
      <c r="A21" s="80" t="s">
        <v>2</v>
      </c>
      <c r="B21" s="81"/>
      <c r="C21" s="81"/>
      <c r="D21" s="81"/>
      <c r="E21" s="81"/>
      <c r="F21" s="60">
        <f>F19-F20</f>
        <v>0</v>
      </c>
      <c r="G21" s="60">
        <f t="shared" ref="G21:J21" si="3">G19-G20</f>
        <v>0</v>
      </c>
      <c r="H21" s="60">
        <f t="shared" si="3"/>
        <v>0</v>
      </c>
      <c r="I21" s="60">
        <f t="shared" si="3"/>
        <v>0</v>
      </c>
      <c r="J21" s="60">
        <f t="shared" si="3"/>
        <v>0</v>
      </c>
    </row>
    <row r="22" spans="1:10" x14ac:dyDescent="0.25">
      <c r="A22" s="80" t="s">
        <v>66</v>
      </c>
      <c r="B22" s="81"/>
      <c r="C22" s="81"/>
      <c r="D22" s="81"/>
      <c r="E22" s="81"/>
      <c r="F22" s="60">
        <f>F14+F21</f>
        <v>-4380.2500000000582</v>
      </c>
      <c r="G22" s="60">
        <f t="shared" ref="G22:J22" si="4">G14+G21</f>
        <v>-397</v>
      </c>
      <c r="H22" s="60">
        <f t="shared" si="4"/>
        <v>0</v>
      </c>
      <c r="I22" s="60">
        <f t="shared" si="4"/>
        <v>0</v>
      </c>
      <c r="J22" s="60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82" t="s">
        <v>67</v>
      </c>
      <c r="B24" s="83"/>
      <c r="C24" s="83"/>
      <c r="D24" s="83"/>
      <c r="E24" s="83"/>
      <c r="F24" s="83"/>
      <c r="G24" s="83"/>
      <c r="H24" s="83"/>
      <c r="I24" s="83"/>
      <c r="J24" s="83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  <c r="I25" s="41"/>
      <c r="J25" s="41"/>
    </row>
    <row r="26" spans="1:10" ht="25.5" x14ac:dyDescent="0.25">
      <c r="A26" s="28"/>
      <c r="B26" s="29"/>
      <c r="C26" s="29"/>
      <c r="D26" s="30"/>
      <c r="E26" s="31"/>
      <c r="F26" s="3" t="s">
        <v>38</v>
      </c>
      <c r="G26" s="3" t="s">
        <v>36</v>
      </c>
      <c r="H26" s="3" t="s">
        <v>46</v>
      </c>
      <c r="I26" s="3" t="s">
        <v>47</v>
      </c>
      <c r="J26" s="3" t="s">
        <v>48</v>
      </c>
    </row>
    <row r="27" spans="1:10" ht="15" customHeight="1" x14ac:dyDescent="0.25">
      <c r="A27" s="84" t="s">
        <v>68</v>
      </c>
      <c r="B27" s="85"/>
      <c r="C27" s="85"/>
      <c r="D27" s="85"/>
      <c r="E27" s="86"/>
      <c r="F27" s="63">
        <v>4777.05</v>
      </c>
      <c r="G27" s="63">
        <v>397</v>
      </c>
      <c r="H27" s="63">
        <v>0</v>
      </c>
      <c r="I27" s="63">
        <v>0</v>
      </c>
      <c r="J27" s="64">
        <v>0</v>
      </c>
    </row>
    <row r="28" spans="1:10" ht="15" customHeight="1" x14ac:dyDescent="0.25">
      <c r="A28" s="80" t="s">
        <v>69</v>
      </c>
      <c r="B28" s="81"/>
      <c r="C28" s="81"/>
      <c r="D28" s="81"/>
      <c r="E28" s="81"/>
      <c r="F28" s="65">
        <f>F22+F27</f>
        <v>396.79999999994197</v>
      </c>
      <c r="G28" s="65">
        <f t="shared" ref="G28:J28" si="5">G22+G27</f>
        <v>0</v>
      </c>
      <c r="H28" s="65">
        <f t="shared" si="5"/>
        <v>0</v>
      </c>
      <c r="I28" s="65">
        <f t="shared" si="5"/>
        <v>0</v>
      </c>
      <c r="J28" s="66">
        <f t="shared" si="5"/>
        <v>0</v>
      </c>
    </row>
    <row r="29" spans="1:10" ht="45" customHeight="1" x14ac:dyDescent="0.25">
      <c r="A29" s="87" t="s">
        <v>70</v>
      </c>
      <c r="B29" s="88"/>
      <c r="C29" s="88"/>
      <c r="D29" s="88"/>
      <c r="E29" s="89"/>
      <c r="F29" s="65">
        <f>F14+F21+F27-F28</f>
        <v>0</v>
      </c>
      <c r="G29" s="65">
        <f t="shared" ref="G29:J29" si="6">G14+G21+G27-G28</f>
        <v>0</v>
      </c>
      <c r="H29" s="65">
        <f t="shared" si="6"/>
        <v>0</v>
      </c>
      <c r="I29" s="65">
        <f t="shared" si="6"/>
        <v>0</v>
      </c>
      <c r="J29" s="66">
        <f t="shared" si="6"/>
        <v>0</v>
      </c>
    </row>
    <row r="30" spans="1:10" ht="15.75" x14ac:dyDescent="0.25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15.75" x14ac:dyDescent="0.25">
      <c r="A31" s="90" t="s">
        <v>64</v>
      </c>
      <c r="B31" s="90"/>
      <c r="C31" s="90"/>
      <c r="D31" s="90"/>
      <c r="E31" s="90"/>
      <c r="F31" s="90"/>
      <c r="G31" s="90"/>
      <c r="H31" s="90"/>
      <c r="I31" s="90"/>
      <c r="J31" s="90"/>
    </row>
    <row r="32" spans="1:10" ht="18" x14ac:dyDescent="0.25">
      <c r="A32" s="45"/>
      <c r="B32" s="46"/>
      <c r="C32" s="46"/>
      <c r="D32" s="46"/>
      <c r="E32" s="46"/>
      <c r="F32" s="46"/>
      <c r="G32" s="46"/>
      <c r="H32" s="47"/>
      <c r="I32" s="47"/>
      <c r="J32" s="47"/>
    </row>
    <row r="33" spans="1:10" ht="25.5" x14ac:dyDescent="0.25">
      <c r="A33" s="48"/>
      <c r="B33" s="49"/>
      <c r="C33" s="49"/>
      <c r="D33" s="50"/>
      <c r="E33" s="51"/>
      <c r="F33" s="52" t="s">
        <v>38</v>
      </c>
      <c r="G33" s="52" t="s">
        <v>36</v>
      </c>
      <c r="H33" s="52" t="s">
        <v>46</v>
      </c>
      <c r="I33" s="52" t="s">
        <v>47</v>
      </c>
      <c r="J33" s="52" t="s">
        <v>48</v>
      </c>
    </row>
    <row r="34" spans="1:10" x14ac:dyDescent="0.25">
      <c r="A34" s="84" t="s">
        <v>68</v>
      </c>
      <c r="B34" s="85"/>
      <c r="C34" s="85"/>
      <c r="D34" s="85"/>
      <c r="E34" s="86"/>
      <c r="F34" s="63">
        <v>0</v>
      </c>
      <c r="G34" s="63">
        <f>F37</f>
        <v>0</v>
      </c>
      <c r="H34" s="63">
        <f>G37</f>
        <v>0</v>
      </c>
      <c r="I34" s="63">
        <f>H37</f>
        <v>0</v>
      </c>
      <c r="J34" s="64">
        <f>I37</f>
        <v>0</v>
      </c>
    </row>
    <row r="35" spans="1:10" ht="28.5" customHeight="1" x14ac:dyDescent="0.25">
      <c r="A35" s="84" t="s">
        <v>71</v>
      </c>
      <c r="B35" s="85"/>
      <c r="C35" s="85"/>
      <c r="D35" s="85"/>
      <c r="E35" s="86"/>
      <c r="F35" s="63">
        <v>0</v>
      </c>
      <c r="G35" s="63">
        <v>0</v>
      </c>
      <c r="H35" s="63">
        <v>0</v>
      </c>
      <c r="I35" s="63">
        <v>0</v>
      </c>
      <c r="J35" s="64">
        <v>0</v>
      </c>
    </row>
    <row r="36" spans="1:10" x14ac:dyDescent="0.25">
      <c r="A36" s="84" t="s">
        <v>72</v>
      </c>
      <c r="B36" s="91"/>
      <c r="C36" s="91"/>
      <c r="D36" s="91"/>
      <c r="E36" s="92"/>
      <c r="F36" s="63">
        <v>0</v>
      </c>
      <c r="G36" s="63">
        <v>0</v>
      </c>
      <c r="H36" s="63">
        <v>0</v>
      </c>
      <c r="I36" s="63">
        <v>0</v>
      </c>
      <c r="J36" s="64">
        <v>0</v>
      </c>
    </row>
    <row r="37" spans="1:10" ht="15" customHeight="1" x14ac:dyDescent="0.25">
      <c r="A37" s="80" t="s">
        <v>69</v>
      </c>
      <c r="B37" s="81"/>
      <c r="C37" s="81"/>
      <c r="D37" s="81"/>
      <c r="E37" s="81"/>
      <c r="F37" s="67">
        <f>F34-F35+F36</f>
        <v>0</v>
      </c>
      <c r="G37" s="67">
        <f t="shared" ref="G37:J37" si="7">G34-G35+G36</f>
        <v>0</v>
      </c>
      <c r="H37" s="67">
        <f t="shared" si="7"/>
        <v>0</v>
      </c>
      <c r="I37" s="67">
        <f t="shared" si="7"/>
        <v>0</v>
      </c>
      <c r="J37" s="68">
        <f t="shared" si="7"/>
        <v>0</v>
      </c>
    </row>
    <row r="38" spans="1:10" ht="17.25" customHeight="1" x14ac:dyDescent="0.25"/>
    <row r="39" spans="1:10" x14ac:dyDescent="0.25">
      <c r="A39" s="78" t="s">
        <v>39</v>
      </c>
      <c r="B39" s="79"/>
      <c r="C39" s="79"/>
      <c r="D39" s="79"/>
      <c r="E39" s="79"/>
      <c r="F39" s="79"/>
      <c r="G39" s="79"/>
      <c r="H39" s="79"/>
      <c r="I39" s="79"/>
      <c r="J39" s="79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7"/>
  <sheetViews>
    <sheetView topLeftCell="A2" workbookViewId="0">
      <selection activeCell="E26" sqref="E2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2" t="s">
        <v>32</v>
      </c>
      <c r="B1" s="82"/>
      <c r="C1" s="82"/>
      <c r="D1" s="82"/>
      <c r="E1" s="82"/>
      <c r="F1" s="82"/>
      <c r="G1" s="82"/>
      <c r="H1" s="8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2" t="s">
        <v>19</v>
      </c>
      <c r="B3" s="82"/>
      <c r="C3" s="82"/>
      <c r="D3" s="82"/>
      <c r="E3" s="82"/>
      <c r="F3" s="82"/>
      <c r="G3" s="82"/>
      <c r="H3" s="8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2" t="s">
        <v>4</v>
      </c>
      <c r="B5" s="82"/>
      <c r="C5" s="82"/>
      <c r="D5" s="82"/>
      <c r="E5" s="82"/>
      <c r="F5" s="82"/>
      <c r="G5" s="82"/>
      <c r="H5" s="8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82" t="s">
        <v>49</v>
      </c>
      <c r="B7" s="82"/>
      <c r="C7" s="82"/>
      <c r="D7" s="82"/>
      <c r="E7" s="82"/>
      <c r="F7" s="82"/>
      <c r="G7" s="82"/>
      <c r="H7" s="82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35</v>
      </c>
      <c r="E9" s="19" t="s">
        <v>36</v>
      </c>
      <c r="F9" s="19" t="s">
        <v>33</v>
      </c>
      <c r="G9" s="19" t="s">
        <v>27</v>
      </c>
      <c r="H9" s="19" t="s">
        <v>34</v>
      </c>
    </row>
    <row r="10" spans="1:8" x14ac:dyDescent="0.25">
      <c r="A10" s="36"/>
      <c r="B10" s="37"/>
      <c r="C10" s="35" t="s">
        <v>0</v>
      </c>
      <c r="D10" s="69">
        <f>D11</f>
        <v>453155.21932444093</v>
      </c>
      <c r="E10" s="69">
        <f t="shared" ref="E10:H10" si="0">E11</f>
        <v>486582</v>
      </c>
      <c r="F10" s="69">
        <f t="shared" si="0"/>
        <v>520000</v>
      </c>
      <c r="G10" s="69">
        <f t="shared" si="0"/>
        <v>523950</v>
      </c>
      <c r="H10" s="69">
        <f t="shared" si="0"/>
        <v>518950</v>
      </c>
    </row>
    <row r="11" spans="1:8" s="57" customFormat="1" ht="15.75" customHeight="1" x14ac:dyDescent="0.25">
      <c r="A11" s="11">
        <v>6</v>
      </c>
      <c r="B11" s="11"/>
      <c r="C11" s="11" t="s">
        <v>7</v>
      </c>
      <c r="D11" s="70">
        <f>SUM(D12:D15)</f>
        <v>453155.21932444093</v>
      </c>
      <c r="E11" s="70">
        <f t="shared" ref="E11:H11" si="1">SUM(E12:E15)</f>
        <v>486582</v>
      </c>
      <c r="F11" s="70">
        <f t="shared" si="1"/>
        <v>520000</v>
      </c>
      <c r="G11" s="70">
        <f t="shared" si="1"/>
        <v>523950</v>
      </c>
      <c r="H11" s="70">
        <f t="shared" si="1"/>
        <v>518950</v>
      </c>
    </row>
    <row r="12" spans="1:8" ht="38.25" x14ac:dyDescent="0.25">
      <c r="A12" s="11"/>
      <c r="B12" s="15">
        <v>63</v>
      </c>
      <c r="C12" s="15" t="s">
        <v>28</v>
      </c>
      <c r="D12" s="71">
        <f>42928.3/7.5345</f>
        <v>5697.564536465592</v>
      </c>
      <c r="E12" s="71">
        <v>4937</v>
      </c>
      <c r="F12" s="72">
        <v>0</v>
      </c>
      <c r="G12" s="72">
        <v>0</v>
      </c>
      <c r="H12" s="72">
        <v>0</v>
      </c>
    </row>
    <row r="13" spans="1:8" x14ac:dyDescent="0.25">
      <c r="A13" s="12"/>
      <c r="B13" s="12">
        <v>64</v>
      </c>
      <c r="C13" s="12" t="s">
        <v>75</v>
      </c>
      <c r="D13" s="71">
        <f>2.46/7.5345</f>
        <v>0.32649810869998008</v>
      </c>
      <c r="E13" s="72">
        <v>13</v>
      </c>
      <c r="F13" s="72">
        <v>0</v>
      </c>
      <c r="G13" s="72">
        <v>0</v>
      </c>
      <c r="H13" s="72">
        <v>0</v>
      </c>
    </row>
    <row r="14" spans="1:8" ht="51" x14ac:dyDescent="0.25">
      <c r="A14" s="12"/>
      <c r="B14" s="12">
        <v>66</v>
      </c>
      <c r="C14" s="56" t="s">
        <v>77</v>
      </c>
      <c r="D14" s="71">
        <f>133100/7.5345</f>
        <v>17665.405799986725</v>
      </c>
      <c r="E14" s="72">
        <v>6803</v>
      </c>
      <c r="F14" s="72">
        <v>10000</v>
      </c>
      <c r="G14" s="72">
        <v>14000</v>
      </c>
      <c r="H14" s="72">
        <v>14000</v>
      </c>
    </row>
    <row r="15" spans="1:8" ht="38.25" x14ac:dyDescent="0.25">
      <c r="A15" s="12"/>
      <c r="B15" s="12">
        <v>67</v>
      </c>
      <c r="C15" s="15" t="s">
        <v>29</v>
      </c>
      <c r="D15" s="71">
        <f>3238267.24/7.5345</f>
        <v>429791.92248987989</v>
      </c>
      <c r="E15" s="72">
        <v>474829</v>
      </c>
      <c r="F15" s="72">
        <v>510000</v>
      </c>
      <c r="G15" s="72">
        <v>509950</v>
      </c>
      <c r="H15" s="72">
        <v>504950</v>
      </c>
    </row>
    <row r="18" spans="1:8" ht="15.75" x14ac:dyDescent="0.25">
      <c r="A18" s="82" t="s">
        <v>50</v>
      </c>
      <c r="B18" s="100"/>
      <c r="C18" s="100"/>
      <c r="D18" s="100"/>
      <c r="E18" s="100"/>
      <c r="F18" s="100"/>
      <c r="G18" s="100"/>
      <c r="H18" s="100"/>
    </row>
    <row r="19" spans="1:8" ht="18" x14ac:dyDescent="0.25">
      <c r="A19" s="4"/>
      <c r="B19" s="4"/>
      <c r="C19" s="4"/>
      <c r="D19" s="4"/>
      <c r="E19" s="4"/>
      <c r="F19" s="4"/>
      <c r="G19" s="5"/>
      <c r="H19" s="5"/>
    </row>
    <row r="20" spans="1:8" ht="25.5" x14ac:dyDescent="0.25">
      <c r="A20" s="19" t="s">
        <v>5</v>
      </c>
      <c r="B20" s="18" t="s">
        <v>6</v>
      </c>
      <c r="C20" s="18" t="s">
        <v>8</v>
      </c>
      <c r="D20" s="18" t="s">
        <v>35</v>
      </c>
      <c r="E20" s="19" t="s">
        <v>36</v>
      </c>
      <c r="F20" s="19" t="s">
        <v>33</v>
      </c>
      <c r="G20" s="19" t="s">
        <v>27</v>
      </c>
      <c r="H20" s="19" t="s">
        <v>34</v>
      </c>
    </row>
    <row r="21" spans="1:8" x14ac:dyDescent="0.25">
      <c r="A21" s="36"/>
      <c r="B21" s="37"/>
      <c r="C21" s="35" t="s">
        <v>1</v>
      </c>
      <c r="D21" s="69">
        <f>D22+D26</f>
        <v>457535.47547946114</v>
      </c>
      <c r="E21" s="69">
        <f t="shared" ref="E21:H21" si="2">E22+E26</f>
        <v>486979</v>
      </c>
      <c r="F21" s="69">
        <f t="shared" si="2"/>
        <v>520000</v>
      </c>
      <c r="G21" s="69">
        <f t="shared" si="2"/>
        <v>523950</v>
      </c>
      <c r="H21" s="69">
        <f t="shared" si="2"/>
        <v>518950</v>
      </c>
    </row>
    <row r="22" spans="1:8" s="57" customFormat="1" ht="15.75" customHeight="1" x14ac:dyDescent="0.25">
      <c r="A22" s="11">
        <v>3</v>
      </c>
      <c r="B22" s="11"/>
      <c r="C22" s="11" t="s">
        <v>9</v>
      </c>
      <c r="D22" s="70">
        <f>SUM(D23:D25)</f>
        <v>456112.02335921425</v>
      </c>
      <c r="E22" s="70">
        <f t="shared" ref="E22:H22" si="3">SUM(E23:E25)</f>
        <v>484792</v>
      </c>
      <c r="F22" s="70">
        <f t="shared" si="3"/>
        <v>517000</v>
      </c>
      <c r="G22" s="70">
        <f t="shared" si="3"/>
        <v>521950</v>
      </c>
      <c r="H22" s="70">
        <f t="shared" si="3"/>
        <v>514950</v>
      </c>
    </row>
    <row r="23" spans="1:8" ht="15.75" customHeight="1" x14ac:dyDescent="0.25">
      <c r="A23" s="11"/>
      <c r="B23" s="15">
        <v>31</v>
      </c>
      <c r="C23" s="15" t="s">
        <v>10</v>
      </c>
      <c r="D23" s="71">
        <f>2847716.17/7.5345</f>
        <v>377956.88765014266</v>
      </c>
      <c r="E23" s="72">
        <v>402473</v>
      </c>
      <c r="F23" s="72">
        <v>438300</v>
      </c>
      <c r="G23" s="72">
        <v>446200</v>
      </c>
      <c r="H23" s="72">
        <v>439200</v>
      </c>
    </row>
    <row r="24" spans="1:8" x14ac:dyDescent="0.25">
      <c r="A24" s="12"/>
      <c r="B24" s="12">
        <v>32</v>
      </c>
      <c r="C24" s="12" t="s">
        <v>22</v>
      </c>
      <c r="D24" s="71">
        <f>581398.35/7.5345</f>
        <v>77164.821819629695</v>
      </c>
      <c r="E24" s="72">
        <v>81319</v>
      </c>
      <c r="F24" s="72">
        <v>77900</v>
      </c>
      <c r="G24" s="72">
        <v>74950</v>
      </c>
      <c r="H24" s="72">
        <v>74950</v>
      </c>
    </row>
    <row r="25" spans="1:8" x14ac:dyDescent="0.25">
      <c r="A25" s="12"/>
      <c r="B25" s="12">
        <v>34</v>
      </c>
      <c r="C25" s="12" t="s">
        <v>79</v>
      </c>
      <c r="D25" s="71">
        <f>7461.52/7.5345</f>
        <v>990.31388944190064</v>
      </c>
      <c r="E25" s="72">
        <v>1000</v>
      </c>
      <c r="F25" s="72">
        <v>800</v>
      </c>
      <c r="G25" s="72">
        <v>800</v>
      </c>
      <c r="H25" s="72">
        <v>800</v>
      </c>
    </row>
    <row r="26" spans="1:8" s="57" customFormat="1" ht="25.5" x14ac:dyDescent="0.25">
      <c r="A26" s="14">
        <v>4</v>
      </c>
      <c r="B26" s="14"/>
      <c r="C26" s="23" t="s">
        <v>11</v>
      </c>
      <c r="D26" s="70">
        <f>D27</f>
        <v>1423.4521202468643</v>
      </c>
      <c r="E26" s="70">
        <f t="shared" ref="E26:H26" si="4">E27</f>
        <v>2187</v>
      </c>
      <c r="F26" s="70">
        <f t="shared" si="4"/>
        <v>3000</v>
      </c>
      <c r="G26" s="70">
        <f t="shared" si="4"/>
        <v>2000</v>
      </c>
      <c r="H26" s="70">
        <f t="shared" si="4"/>
        <v>4000</v>
      </c>
    </row>
    <row r="27" spans="1:8" ht="38.25" x14ac:dyDescent="0.25">
      <c r="A27" s="15"/>
      <c r="B27" s="12">
        <v>42</v>
      </c>
      <c r="C27" s="15" t="s">
        <v>30</v>
      </c>
      <c r="D27" s="71">
        <f>10725/7.5345</f>
        <v>1423.4521202468643</v>
      </c>
      <c r="E27" s="72">
        <v>2187</v>
      </c>
      <c r="F27" s="72">
        <v>3000</v>
      </c>
      <c r="G27" s="72">
        <v>2000</v>
      </c>
      <c r="H27" s="73">
        <v>4000</v>
      </c>
    </row>
  </sheetData>
  <mergeCells count="5">
    <mergeCell ref="A18:H18"/>
    <mergeCell ref="A1:H1"/>
    <mergeCell ref="A3:H3"/>
    <mergeCell ref="A5:H5"/>
    <mergeCell ref="A7:H7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4"/>
  <sheetViews>
    <sheetView topLeftCell="A12" workbookViewId="0">
      <selection activeCell="D34" sqref="D34"/>
    </sheetView>
  </sheetViews>
  <sheetFormatPr defaultRowHeight="15" x14ac:dyDescent="0.25"/>
  <cols>
    <col min="1" max="1" width="68.140625" customWidth="1"/>
    <col min="2" max="6" width="25.28515625" customWidth="1"/>
  </cols>
  <sheetData>
    <row r="1" spans="1:6" ht="42" customHeight="1" x14ac:dyDescent="0.25">
      <c r="A1" s="82" t="s">
        <v>32</v>
      </c>
      <c r="B1" s="82"/>
      <c r="C1" s="82"/>
      <c r="D1" s="82"/>
      <c r="E1" s="82"/>
      <c r="F1" s="8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82" t="s">
        <v>19</v>
      </c>
      <c r="B3" s="82"/>
      <c r="C3" s="82"/>
      <c r="D3" s="82"/>
      <c r="E3" s="82"/>
      <c r="F3" s="82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82" t="s">
        <v>4</v>
      </c>
      <c r="B5" s="82"/>
      <c r="C5" s="82"/>
      <c r="D5" s="82"/>
      <c r="E5" s="82"/>
      <c r="F5" s="82"/>
    </row>
    <row r="6" spans="1:6" ht="18" x14ac:dyDescent="0.25">
      <c r="A6" s="4"/>
      <c r="B6" s="4"/>
      <c r="C6" s="4"/>
      <c r="D6" s="4"/>
      <c r="E6" s="5"/>
      <c r="F6" s="5"/>
    </row>
    <row r="7" spans="1:6" ht="15.75" customHeight="1" x14ac:dyDescent="0.25">
      <c r="A7" s="82" t="s">
        <v>51</v>
      </c>
      <c r="B7" s="82"/>
      <c r="C7" s="82"/>
      <c r="D7" s="82"/>
      <c r="E7" s="82"/>
      <c r="F7" s="82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53</v>
      </c>
      <c r="B9" s="18" t="s">
        <v>35</v>
      </c>
      <c r="C9" s="19" t="s">
        <v>36</v>
      </c>
      <c r="D9" s="19" t="s">
        <v>33</v>
      </c>
      <c r="E9" s="19" t="s">
        <v>27</v>
      </c>
      <c r="F9" s="19" t="s">
        <v>34</v>
      </c>
    </row>
    <row r="10" spans="1:6" s="57" customFormat="1" x14ac:dyDescent="0.25">
      <c r="A10" s="38" t="s">
        <v>0</v>
      </c>
      <c r="B10" s="69">
        <f>B11+B13+B15</f>
        <v>453155.21932444087</v>
      </c>
      <c r="C10" s="69">
        <f t="shared" ref="C10:F10" si="0">C11+C13+C15</f>
        <v>486582</v>
      </c>
      <c r="D10" s="69">
        <f t="shared" si="0"/>
        <v>520000</v>
      </c>
      <c r="E10" s="69">
        <f t="shared" si="0"/>
        <v>523950</v>
      </c>
      <c r="F10" s="69">
        <f t="shared" si="0"/>
        <v>518950</v>
      </c>
    </row>
    <row r="11" spans="1:6" s="57" customFormat="1" x14ac:dyDescent="0.25">
      <c r="A11" s="23" t="s">
        <v>82</v>
      </c>
      <c r="B11" s="74">
        <f>B12</f>
        <v>429791.92248987989</v>
      </c>
      <c r="C11" s="74">
        <f t="shared" ref="C11:F11" si="1">C12</f>
        <v>474829</v>
      </c>
      <c r="D11" s="74">
        <f t="shared" si="1"/>
        <v>510000</v>
      </c>
      <c r="E11" s="74">
        <f t="shared" si="1"/>
        <v>509950</v>
      </c>
      <c r="F11" s="74">
        <f t="shared" si="1"/>
        <v>504950</v>
      </c>
    </row>
    <row r="12" spans="1:6" x14ac:dyDescent="0.25">
      <c r="A12" s="13" t="s">
        <v>80</v>
      </c>
      <c r="B12" s="72">
        <f>3238267.24/7.5345</f>
        <v>429791.92248987989</v>
      </c>
      <c r="C12" s="72">
        <v>474829</v>
      </c>
      <c r="D12" s="72">
        <v>510000</v>
      </c>
      <c r="E12" s="72">
        <v>509950</v>
      </c>
      <c r="F12" s="72">
        <v>504950</v>
      </c>
    </row>
    <row r="13" spans="1:6" s="57" customFormat="1" x14ac:dyDescent="0.25">
      <c r="A13" s="25" t="s">
        <v>81</v>
      </c>
      <c r="B13" s="75">
        <f>B14</f>
        <v>17665.732298095427</v>
      </c>
      <c r="C13" s="75">
        <f t="shared" ref="C13:F13" si="2">C14</f>
        <v>6816</v>
      </c>
      <c r="D13" s="75">
        <f t="shared" si="2"/>
        <v>10000</v>
      </c>
      <c r="E13" s="75">
        <f t="shared" si="2"/>
        <v>14000</v>
      </c>
      <c r="F13" s="75">
        <f t="shared" si="2"/>
        <v>14000</v>
      </c>
    </row>
    <row r="14" spans="1:6" x14ac:dyDescent="0.25">
      <c r="A14" s="13" t="s">
        <v>83</v>
      </c>
      <c r="B14" s="72">
        <f>133102.46/7.5345</f>
        <v>17665.732298095427</v>
      </c>
      <c r="C14" s="72">
        <f>6803+13</f>
        <v>6816</v>
      </c>
      <c r="D14" s="72">
        <v>10000</v>
      </c>
      <c r="E14" s="72">
        <v>14000</v>
      </c>
      <c r="F14" s="72">
        <v>14000</v>
      </c>
    </row>
    <row r="15" spans="1:6" s="57" customFormat="1" x14ac:dyDescent="0.25">
      <c r="A15" s="25" t="s">
        <v>84</v>
      </c>
      <c r="B15" s="75">
        <f>SUM(B16:B17)</f>
        <v>5697.5645364655911</v>
      </c>
      <c r="C15" s="75">
        <f t="shared" ref="C15:F15" si="3">SUM(C16:C17)</f>
        <v>4937</v>
      </c>
      <c r="D15" s="75">
        <f t="shared" si="3"/>
        <v>0</v>
      </c>
      <c r="E15" s="75">
        <f t="shared" si="3"/>
        <v>0</v>
      </c>
      <c r="F15" s="75">
        <f t="shared" si="3"/>
        <v>0</v>
      </c>
    </row>
    <row r="16" spans="1:6" x14ac:dyDescent="0.25">
      <c r="A16" s="13" t="s">
        <v>85</v>
      </c>
      <c r="B16" s="72">
        <f>35264.83/7.5345</f>
        <v>4680.4472758643569</v>
      </c>
      <c r="C16" s="72">
        <v>4937</v>
      </c>
      <c r="D16" s="72">
        <v>0</v>
      </c>
      <c r="E16" s="72">
        <v>0</v>
      </c>
      <c r="F16" s="72">
        <v>0</v>
      </c>
    </row>
    <row r="17" spans="1:6" x14ac:dyDescent="0.25">
      <c r="A17" s="13" t="s">
        <v>86</v>
      </c>
      <c r="B17" s="72">
        <f>7663.47/7.5345</f>
        <v>1017.1172606012343</v>
      </c>
      <c r="C17" s="72">
        <v>0</v>
      </c>
      <c r="D17" s="72">
        <v>0</v>
      </c>
      <c r="E17" s="72">
        <v>0</v>
      </c>
      <c r="F17" s="72">
        <v>0</v>
      </c>
    </row>
    <row r="20" spans="1:6" ht="15.75" customHeight="1" x14ac:dyDescent="0.25">
      <c r="A20" s="82" t="s">
        <v>52</v>
      </c>
      <c r="B20" s="82"/>
      <c r="C20" s="82"/>
      <c r="D20" s="82"/>
      <c r="E20" s="82"/>
      <c r="F20" s="82"/>
    </row>
    <row r="21" spans="1:6" ht="18" x14ac:dyDescent="0.25">
      <c r="A21" s="4"/>
      <c r="B21" s="4"/>
      <c r="C21" s="4"/>
      <c r="D21" s="4"/>
      <c r="E21" s="5"/>
      <c r="F21" s="5"/>
    </row>
    <row r="22" spans="1:6" ht="25.5" x14ac:dyDescent="0.25">
      <c r="A22" s="19" t="s">
        <v>53</v>
      </c>
      <c r="B22" s="18" t="s">
        <v>35</v>
      </c>
      <c r="C22" s="19" t="s">
        <v>36</v>
      </c>
      <c r="D22" s="19" t="s">
        <v>33</v>
      </c>
      <c r="E22" s="19" t="s">
        <v>27</v>
      </c>
      <c r="F22" s="19" t="s">
        <v>34</v>
      </c>
    </row>
    <row r="23" spans="1:6" x14ac:dyDescent="0.25">
      <c r="A23" s="38" t="s">
        <v>1</v>
      </c>
      <c r="B23" s="69">
        <f>B24+B26+B29</f>
        <v>457535.47547946114</v>
      </c>
      <c r="C23" s="69">
        <f>C24+C26+C29+C33</f>
        <v>486979</v>
      </c>
      <c r="D23" s="69">
        <f t="shared" ref="D23:F23" si="4">D24+D26+D29</f>
        <v>520000</v>
      </c>
      <c r="E23" s="69">
        <f t="shared" si="4"/>
        <v>523950</v>
      </c>
      <c r="F23" s="69">
        <f t="shared" si="4"/>
        <v>518950</v>
      </c>
    </row>
    <row r="24" spans="1:6" s="57" customFormat="1" x14ac:dyDescent="0.25">
      <c r="A24" s="25" t="s">
        <v>82</v>
      </c>
      <c r="B24" s="75">
        <f>B25</f>
        <v>429791.92248987989</v>
      </c>
      <c r="C24" s="75">
        <f t="shared" ref="C24:F24" si="5">C25</f>
        <v>474829</v>
      </c>
      <c r="D24" s="75">
        <f t="shared" si="5"/>
        <v>510000</v>
      </c>
      <c r="E24" s="75">
        <f t="shared" si="5"/>
        <v>509950</v>
      </c>
      <c r="F24" s="75">
        <f t="shared" si="5"/>
        <v>504950</v>
      </c>
    </row>
    <row r="25" spans="1:6" x14ac:dyDescent="0.25">
      <c r="A25" s="13" t="s">
        <v>80</v>
      </c>
      <c r="B25" s="71">
        <f>3238267.24/7.5345</f>
        <v>429791.92248987989</v>
      </c>
      <c r="C25" s="72">
        <v>474829</v>
      </c>
      <c r="D25" s="72">
        <v>510000</v>
      </c>
      <c r="E25" s="72">
        <v>509950</v>
      </c>
      <c r="F25" s="72">
        <v>504950</v>
      </c>
    </row>
    <row r="26" spans="1:6" s="57" customFormat="1" x14ac:dyDescent="0.25">
      <c r="A26" s="25" t="s">
        <v>81</v>
      </c>
      <c r="B26" s="75">
        <f>SUM(B27:B28)</f>
        <v>21723.144203331343</v>
      </c>
      <c r="C26" s="75">
        <f t="shared" ref="C26:F26" si="6">SUM(C27:C28)</f>
        <v>6816</v>
      </c>
      <c r="D26" s="75">
        <f t="shared" si="6"/>
        <v>10000</v>
      </c>
      <c r="E26" s="75">
        <f t="shared" si="6"/>
        <v>14000</v>
      </c>
      <c r="F26" s="75">
        <f t="shared" si="6"/>
        <v>14000</v>
      </c>
    </row>
    <row r="27" spans="1:6" x14ac:dyDescent="0.25">
      <c r="A27" s="13" t="s">
        <v>83</v>
      </c>
      <c r="B27" s="71">
        <f>130113.33/7.5345</f>
        <v>17269.006569779016</v>
      </c>
      <c r="C27" s="72">
        <v>6816</v>
      </c>
      <c r="D27" s="72">
        <v>10000</v>
      </c>
      <c r="E27" s="72">
        <v>14000</v>
      </c>
      <c r="F27" s="72">
        <v>14000</v>
      </c>
    </row>
    <row r="28" spans="1:6" x14ac:dyDescent="0.25">
      <c r="A28" s="13" t="s">
        <v>87</v>
      </c>
      <c r="B28" s="71">
        <f>33559.7/7.5345</f>
        <v>4454.1376335523255</v>
      </c>
      <c r="C28" s="72">
        <v>0</v>
      </c>
      <c r="D28" s="72">
        <v>0</v>
      </c>
      <c r="E28" s="72">
        <v>0</v>
      </c>
      <c r="F28" s="72">
        <v>0</v>
      </c>
    </row>
    <row r="29" spans="1:6" s="57" customFormat="1" x14ac:dyDescent="0.25">
      <c r="A29" s="25" t="s">
        <v>84</v>
      </c>
      <c r="B29" s="75">
        <f>SUM(B30:B32)</f>
        <v>6020.4087862499164</v>
      </c>
      <c r="C29" s="75">
        <f t="shared" ref="C29:F29" si="7">SUM(C30:C32)</f>
        <v>4937</v>
      </c>
      <c r="D29" s="75">
        <f t="shared" si="7"/>
        <v>0</v>
      </c>
      <c r="E29" s="75">
        <f t="shared" si="7"/>
        <v>0</v>
      </c>
      <c r="F29" s="75">
        <f t="shared" si="7"/>
        <v>0</v>
      </c>
    </row>
    <row r="30" spans="1:6" x14ac:dyDescent="0.25">
      <c r="A30" s="13" t="s">
        <v>85</v>
      </c>
      <c r="B30" s="71">
        <f>35264.83/7.5345</f>
        <v>4680.4472758643569</v>
      </c>
      <c r="C30" s="72">
        <v>4937</v>
      </c>
      <c r="D30" s="72">
        <v>0</v>
      </c>
      <c r="E30" s="72">
        <v>0</v>
      </c>
      <c r="F30" s="72">
        <v>0</v>
      </c>
    </row>
    <row r="31" spans="1:6" x14ac:dyDescent="0.25">
      <c r="A31" s="13" t="s">
        <v>88</v>
      </c>
      <c r="B31" s="71">
        <f>2432.47/7.5345</f>
        <v>322.84424978432537</v>
      </c>
      <c r="C31" s="72">
        <v>0</v>
      </c>
      <c r="D31" s="72">
        <v>0</v>
      </c>
      <c r="E31" s="72">
        <v>0</v>
      </c>
      <c r="F31" s="72">
        <v>0</v>
      </c>
    </row>
    <row r="32" spans="1:6" x14ac:dyDescent="0.25">
      <c r="A32" s="13" t="s">
        <v>86</v>
      </c>
      <c r="B32" s="71">
        <f>7663.47/7.5345</f>
        <v>1017.1172606012343</v>
      </c>
      <c r="C32" s="72">
        <v>0</v>
      </c>
      <c r="D32" s="72">
        <v>0</v>
      </c>
      <c r="E32" s="72">
        <v>0</v>
      </c>
      <c r="F32" s="72">
        <v>0</v>
      </c>
    </row>
    <row r="33" spans="1:6" s="57" customFormat="1" x14ac:dyDescent="0.25">
      <c r="A33" s="25" t="s">
        <v>113</v>
      </c>
      <c r="B33" s="75">
        <f>SUM(B34:B36)</f>
        <v>0</v>
      </c>
      <c r="C33" s="75">
        <f t="shared" ref="C33:F33" si="8">SUM(C34:C36)</f>
        <v>397</v>
      </c>
      <c r="D33" s="75">
        <f t="shared" si="8"/>
        <v>0</v>
      </c>
      <c r="E33" s="75">
        <f t="shared" si="8"/>
        <v>0</v>
      </c>
      <c r="F33" s="75">
        <f t="shared" si="8"/>
        <v>0</v>
      </c>
    </row>
    <row r="34" spans="1:6" x14ac:dyDescent="0.25">
      <c r="A34" s="13" t="s">
        <v>114</v>
      </c>
      <c r="B34" s="71">
        <v>0</v>
      </c>
      <c r="C34" s="72">
        <v>397</v>
      </c>
      <c r="D34" s="72">
        <v>0</v>
      </c>
      <c r="E34" s="72">
        <v>0</v>
      </c>
      <c r="F34" s="72">
        <v>0</v>
      </c>
    </row>
  </sheetData>
  <mergeCells count="5">
    <mergeCell ref="A1:F1"/>
    <mergeCell ref="A3:F3"/>
    <mergeCell ref="A5:F5"/>
    <mergeCell ref="A7:F7"/>
    <mergeCell ref="A20:F20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activeCell="E18" sqref="E18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82" t="s">
        <v>32</v>
      </c>
      <c r="B1" s="82"/>
      <c r="C1" s="82"/>
      <c r="D1" s="82"/>
      <c r="E1" s="82"/>
      <c r="F1" s="8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2" t="s">
        <v>19</v>
      </c>
      <c r="B3" s="82"/>
      <c r="C3" s="82"/>
      <c r="D3" s="82"/>
      <c r="E3" s="95"/>
      <c r="F3" s="95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2" t="s">
        <v>4</v>
      </c>
      <c r="B5" s="83"/>
      <c r="C5" s="83"/>
      <c r="D5" s="83"/>
      <c r="E5" s="83"/>
      <c r="F5" s="83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82" t="s">
        <v>12</v>
      </c>
      <c r="B7" s="100"/>
      <c r="C7" s="100"/>
      <c r="D7" s="100"/>
      <c r="E7" s="100"/>
      <c r="F7" s="100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53</v>
      </c>
      <c r="B9" s="18" t="s">
        <v>35</v>
      </c>
      <c r="C9" s="19" t="s">
        <v>36</v>
      </c>
      <c r="D9" s="19" t="s">
        <v>33</v>
      </c>
      <c r="E9" s="19" t="s">
        <v>27</v>
      </c>
      <c r="F9" s="19" t="s">
        <v>34</v>
      </c>
    </row>
    <row r="10" spans="1:6" s="57" customFormat="1" ht="15.75" customHeight="1" x14ac:dyDescent="0.25">
      <c r="A10" s="11" t="s">
        <v>13</v>
      </c>
      <c r="B10" s="76">
        <f>B11+B13</f>
        <v>457535.47547946114</v>
      </c>
      <c r="C10" s="76">
        <f t="shared" ref="C10:F10" si="0">C11+C13</f>
        <v>486979</v>
      </c>
      <c r="D10" s="76">
        <f t="shared" si="0"/>
        <v>520000</v>
      </c>
      <c r="E10" s="76">
        <f t="shared" si="0"/>
        <v>523950</v>
      </c>
      <c r="F10" s="76">
        <f t="shared" si="0"/>
        <v>518950</v>
      </c>
    </row>
    <row r="11" spans="1:6" s="57" customFormat="1" ht="15.75" customHeight="1" x14ac:dyDescent="0.25">
      <c r="A11" s="11" t="s">
        <v>14</v>
      </c>
      <c r="B11" s="70">
        <f>B12</f>
        <v>451278.60242882738</v>
      </c>
      <c r="C11" s="70">
        <f t="shared" ref="C11:F11" si="1">C12</f>
        <v>482042</v>
      </c>
      <c r="D11" s="70">
        <f t="shared" si="1"/>
        <v>520000</v>
      </c>
      <c r="E11" s="70">
        <f t="shared" si="1"/>
        <v>523950</v>
      </c>
      <c r="F11" s="70">
        <f t="shared" si="1"/>
        <v>518950</v>
      </c>
    </row>
    <row r="12" spans="1:6" x14ac:dyDescent="0.25">
      <c r="A12" s="58" t="s">
        <v>15</v>
      </c>
      <c r="B12" s="71">
        <f>3400158.63/7.5345</f>
        <v>451278.60242882738</v>
      </c>
      <c r="C12" s="72">
        <v>482042</v>
      </c>
      <c r="D12" s="72">
        <v>520000</v>
      </c>
      <c r="E12" s="72">
        <v>523950</v>
      </c>
      <c r="F12" s="72">
        <v>518950</v>
      </c>
    </row>
    <row r="13" spans="1:6" s="57" customFormat="1" ht="25.5" x14ac:dyDescent="0.25">
      <c r="A13" s="11" t="s">
        <v>89</v>
      </c>
      <c r="B13" s="70">
        <f>B14</f>
        <v>6256.8730506337515</v>
      </c>
      <c r="C13" s="70">
        <f t="shared" ref="C13:F13" si="2">C14</f>
        <v>4937</v>
      </c>
      <c r="D13" s="70">
        <f t="shared" si="2"/>
        <v>0</v>
      </c>
      <c r="E13" s="70">
        <f t="shared" si="2"/>
        <v>0</v>
      </c>
      <c r="F13" s="70">
        <f t="shared" si="2"/>
        <v>0</v>
      </c>
    </row>
    <row r="14" spans="1:6" x14ac:dyDescent="0.25">
      <c r="A14" s="17" t="s">
        <v>90</v>
      </c>
      <c r="B14" s="71">
        <f>47142.41/7.5345</f>
        <v>6256.8730506337515</v>
      </c>
      <c r="C14" s="72">
        <v>4937</v>
      </c>
      <c r="D14" s="72">
        <v>0</v>
      </c>
      <c r="E14" s="72">
        <v>0</v>
      </c>
      <c r="F14" s="73"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82" t="s">
        <v>32</v>
      </c>
      <c r="B1" s="82"/>
      <c r="C1" s="82"/>
      <c r="D1" s="82"/>
      <c r="E1" s="82"/>
      <c r="F1" s="82"/>
      <c r="G1" s="82"/>
      <c r="H1" s="82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2" t="s">
        <v>19</v>
      </c>
      <c r="B3" s="82"/>
      <c r="C3" s="82"/>
      <c r="D3" s="82"/>
      <c r="E3" s="82"/>
      <c r="F3" s="82"/>
      <c r="G3" s="82"/>
      <c r="H3" s="82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82" t="s">
        <v>58</v>
      </c>
      <c r="B5" s="82"/>
      <c r="C5" s="82"/>
      <c r="D5" s="82"/>
      <c r="E5" s="82"/>
      <c r="F5" s="82"/>
      <c r="G5" s="82"/>
      <c r="H5" s="82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31</v>
      </c>
      <c r="D7" s="18" t="s">
        <v>35</v>
      </c>
      <c r="E7" s="19" t="s">
        <v>36</v>
      </c>
      <c r="F7" s="19" t="s">
        <v>33</v>
      </c>
      <c r="G7" s="19" t="s">
        <v>27</v>
      </c>
      <c r="H7" s="19" t="s">
        <v>34</v>
      </c>
    </row>
    <row r="8" spans="1:8" x14ac:dyDescent="0.25">
      <c r="A8" s="36"/>
      <c r="B8" s="37"/>
      <c r="C8" s="35" t="s">
        <v>60</v>
      </c>
      <c r="D8" s="37"/>
      <c r="E8" s="36"/>
      <c r="F8" s="36"/>
      <c r="G8" s="36"/>
      <c r="H8" s="36"/>
    </row>
    <row r="9" spans="1:8" ht="25.5" x14ac:dyDescent="0.25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23</v>
      </c>
      <c r="D10" s="8"/>
      <c r="E10" s="9"/>
      <c r="F10" s="9"/>
      <c r="G10" s="9"/>
      <c r="H10" s="9"/>
    </row>
    <row r="11" spans="1:8" x14ac:dyDescent="0.25">
      <c r="A11" s="11"/>
      <c r="B11" s="15"/>
      <c r="C11" s="39"/>
      <c r="D11" s="8"/>
      <c r="E11" s="9"/>
      <c r="F11" s="9"/>
      <c r="G11" s="9"/>
      <c r="H11" s="9"/>
    </row>
    <row r="12" spans="1:8" x14ac:dyDescent="0.25">
      <c r="A12" s="11"/>
      <c r="B12" s="15"/>
      <c r="C12" s="35" t="s">
        <v>63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3" t="s">
        <v>17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4" t="s">
        <v>24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82" t="s">
        <v>32</v>
      </c>
      <c r="B1" s="82"/>
      <c r="C1" s="82"/>
      <c r="D1" s="82"/>
      <c r="E1" s="82"/>
      <c r="F1" s="82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82" t="s">
        <v>19</v>
      </c>
      <c r="B3" s="82"/>
      <c r="C3" s="82"/>
      <c r="D3" s="82"/>
      <c r="E3" s="82"/>
      <c r="F3" s="82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2" t="s">
        <v>59</v>
      </c>
      <c r="B5" s="82"/>
      <c r="C5" s="82"/>
      <c r="D5" s="82"/>
      <c r="E5" s="82"/>
      <c r="F5" s="82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8" t="s">
        <v>53</v>
      </c>
      <c r="B7" s="18" t="s">
        <v>35</v>
      </c>
      <c r="C7" s="19" t="s">
        <v>36</v>
      </c>
      <c r="D7" s="19" t="s">
        <v>33</v>
      </c>
      <c r="E7" s="19" t="s">
        <v>27</v>
      </c>
      <c r="F7" s="19" t="s">
        <v>34</v>
      </c>
    </row>
    <row r="8" spans="1:6" x14ac:dyDescent="0.25">
      <c r="A8" s="11" t="s">
        <v>60</v>
      </c>
      <c r="B8" s="8"/>
      <c r="C8" s="9"/>
      <c r="D8" s="9"/>
      <c r="E8" s="9"/>
      <c r="F8" s="9"/>
    </row>
    <row r="9" spans="1:6" ht="25.5" x14ac:dyDescent="0.25">
      <c r="A9" s="11" t="s">
        <v>61</v>
      </c>
      <c r="B9" s="8"/>
      <c r="C9" s="9"/>
      <c r="D9" s="9"/>
      <c r="E9" s="9"/>
      <c r="F9" s="9"/>
    </row>
    <row r="10" spans="1:6" ht="25.5" x14ac:dyDescent="0.25">
      <c r="A10" s="16" t="s">
        <v>62</v>
      </c>
      <c r="B10" s="8"/>
      <c r="C10" s="9"/>
      <c r="D10" s="9"/>
      <c r="E10" s="9"/>
      <c r="F10" s="9"/>
    </row>
    <row r="11" spans="1:6" x14ac:dyDescent="0.25">
      <c r="A11" s="16"/>
      <c r="B11" s="8"/>
      <c r="C11" s="9"/>
      <c r="D11" s="9"/>
      <c r="E11" s="9"/>
      <c r="F11" s="9"/>
    </row>
    <row r="12" spans="1:6" x14ac:dyDescent="0.25">
      <c r="A12" s="11" t="s">
        <v>63</v>
      </c>
      <c r="B12" s="8"/>
      <c r="C12" s="9"/>
      <c r="D12" s="9"/>
      <c r="E12" s="9"/>
      <c r="F12" s="9"/>
    </row>
    <row r="13" spans="1:6" x14ac:dyDescent="0.25">
      <c r="A13" s="23" t="s">
        <v>54</v>
      </c>
      <c r="B13" s="8"/>
      <c r="C13" s="9"/>
      <c r="D13" s="9"/>
      <c r="E13" s="9"/>
      <c r="F13" s="9"/>
    </row>
    <row r="14" spans="1:6" x14ac:dyDescent="0.25">
      <c r="A14" s="13" t="s">
        <v>55</v>
      </c>
      <c r="B14" s="8"/>
      <c r="C14" s="9"/>
      <c r="D14" s="9"/>
      <c r="E14" s="9"/>
      <c r="F14" s="10"/>
    </row>
    <row r="15" spans="1:6" x14ac:dyDescent="0.25">
      <c r="A15" s="23" t="s">
        <v>56</v>
      </c>
      <c r="B15" s="8"/>
      <c r="C15" s="9"/>
      <c r="D15" s="9"/>
      <c r="E15" s="9"/>
      <c r="F15" s="10"/>
    </row>
    <row r="16" spans="1:6" x14ac:dyDescent="0.25">
      <c r="A16" s="13" t="s">
        <v>57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8"/>
  <sheetViews>
    <sheetView tabSelected="1" topLeftCell="A41" workbookViewId="0">
      <selection activeCell="G60" sqref="G6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1" ht="42" customHeight="1" x14ac:dyDescent="0.25">
      <c r="A1" s="82" t="s">
        <v>32</v>
      </c>
      <c r="B1" s="82"/>
      <c r="C1" s="82"/>
      <c r="D1" s="82"/>
      <c r="E1" s="82"/>
      <c r="F1" s="82"/>
      <c r="G1" s="82"/>
      <c r="H1" s="82"/>
      <c r="I1" s="82"/>
    </row>
    <row r="2" spans="1:11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1" ht="18" customHeight="1" x14ac:dyDescent="0.25">
      <c r="A3" s="82" t="s">
        <v>18</v>
      </c>
      <c r="B3" s="83"/>
      <c r="C3" s="83"/>
      <c r="D3" s="83"/>
      <c r="E3" s="83"/>
      <c r="F3" s="83"/>
      <c r="G3" s="83"/>
      <c r="H3" s="83"/>
      <c r="I3" s="83"/>
    </row>
    <row r="4" spans="1:11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1" ht="25.5" x14ac:dyDescent="0.25">
      <c r="A5" s="104" t="s">
        <v>20</v>
      </c>
      <c r="B5" s="105"/>
      <c r="C5" s="106"/>
      <c r="D5" s="18" t="s">
        <v>21</v>
      </c>
      <c r="E5" s="18" t="s">
        <v>35</v>
      </c>
      <c r="F5" s="19" t="s">
        <v>36</v>
      </c>
      <c r="G5" s="19" t="s">
        <v>33</v>
      </c>
      <c r="H5" s="19" t="s">
        <v>27</v>
      </c>
      <c r="I5" s="19" t="s">
        <v>34</v>
      </c>
    </row>
    <row r="6" spans="1:11" x14ac:dyDescent="0.25">
      <c r="A6" s="116" t="s">
        <v>13</v>
      </c>
      <c r="B6" s="117"/>
      <c r="C6" s="118"/>
      <c r="D6" s="18"/>
      <c r="E6" s="77">
        <f>E7+E28+E43</f>
        <v>457535.47547946114</v>
      </c>
      <c r="F6" s="77">
        <f t="shared" ref="F6:I6" si="0">F7+F28+F43</f>
        <v>486979</v>
      </c>
      <c r="G6" s="77">
        <f t="shared" si="0"/>
        <v>520000</v>
      </c>
      <c r="H6" s="77">
        <f t="shared" si="0"/>
        <v>523950</v>
      </c>
      <c r="I6" s="77">
        <f t="shared" si="0"/>
        <v>518950</v>
      </c>
    </row>
    <row r="7" spans="1:11" s="57" customFormat="1" ht="15" customHeight="1" x14ac:dyDescent="0.25">
      <c r="A7" s="101" t="s">
        <v>91</v>
      </c>
      <c r="B7" s="102"/>
      <c r="C7" s="103"/>
      <c r="D7" s="27" t="s">
        <v>92</v>
      </c>
      <c r="E7" s="70">
        <f>E8</f>
        <v>451278.60242882738</v>
      </c>
      <c r="F7" s="70">
        <f t="shared" ref="F7:I7" si="1">F8</f>
        <v>482042</v>
      </c>
      <c r="G7" s="70">
        <f t="shared" si="1"/>
        <v>520000</v>
      </c>
      <c r="H7" s="70">
        <f t="shared" si="1"/>
        <v>523950</v>
      </c>
      <c r="I7" s="70">
        <f t="shared" si="1"/>
        <v>518950</v>
      </c>
    </row>
    <row r="8" spans="1:11" s="57" customFormat="1" ht="25.5" x14ac:dyDescent="0.25">
      <c r="A8" s="101" t="s">
        <v>93</v>
      </c>
      <c r="B8" s="102"/>
      <c r="C8" s="103"/>
      <c r="D8" s="27" t="s">
        <v>94</v>
      </c>
      <c r="E8" s="70">
        <f>E9+E14+E21+E25</f>
        <v>451278.60242882738</v>
      </c>
      <c r="F8" s="70">
        <f t="shared" ref="F8:I8" si="2">F9+F14+F21+F25</f>
        <v>482042</v>
      </c>
      <c r="G8" s="70">
        <f t="shared" si="2"/>
        <v>520000</v>
      </c>
      <c r="H8" s="70">
        <f t="shared" si="2"/>
        <v>523950</v>
      </c>
      <c r="I8" s="70">
        <f t="shared" si="2"/>
        <v>518950</v>
      </c>
      <c r="K8" s="59"/>
    </row>
    <row r="9" spans="1:11" ht="15" customHeight="1" x14ac:dyDescent="0.25">
      <c r="A9" s="110" t="s">
        <v>95</v>
      </c>
      <c r="B9" s="111"/>
      <c r="C9" s="112"/>
      <c r="D9" s="34" t="s">
        <v>78</v>
      </c>
      <c r="E9" s="71">
        <f>E10</f>
        <v>429791.92248987989</v>
      </c>
      <c r="F9" s="71">
        <f t="shared" ref="F9:I9" si="3">F10</f>
        <v>474829</v>
      </c>
      <c r="G9" s="71">
        <f t="shared" si="3"/>
        <v>510000</v>
      </c>
      <c r="H9" s="71">
        <f t="shared" si="3"/>
        <v>509950</v>
      </c>
      <c r="I9" s="71">
        <f t="shared" si="3"/>
        <v>504950</v>
      </c>
    </row>
    <row r="10" spans="1:11" x14ac:dyDescent="0.25">
      <c r="A10" s="113">
        <v>3</v>
      </c>
      <c r="B10" s="114"/>
      <c r="C10" s="115"/>
      <c r="D10" s="26" t="s">
        <v>9</v>
      </c>
      <c r="E10" s="71">
        <f>SUM(E11:E13)</f>
        <v>429791.92248987989</v>
      </c>
      <c r="F10" s="71">
        <f t="shared" ref="F10:I10" si="4">SUM(F11:F13)</f>
        <v>474829</v>
      </c>
      <c r="G10" s="71">
        <f t="shared" si="4"/>
        <v>510000</v>
      </c>
      <c r="H10" s="71">
        <f t="shared" si="4"/>
        <v>509950</v>
      </c>
      <c r="I10" s="71">
        <f t="shared" si="4"/>
        <v>504950</v>
      </c>
    </row>
    <row r="11" spans="1:11" x14ac:dyDescent="0.25">
      <c r="A11" s="107">
        <v>31</v>
      </c>
      <c r="B11" s="108"/>
      <c r="C11" s="109"/>
      <c r="D11" s="26" t="s">
        <v>10</v>
      </c>
      <c r="E11" s="71">
        <f>2790945.44/7.5345</f>
        <v>370422.11692879419</v>
      </c>
      <c r="F11" s="72">
        <v>393651</v>
      </c>
      <c r="G11" s="72">
        <v>431300</v>
      </c>
      <c r="H11" s="72">
        <v>434200</v>
      </c>
      <c r="I11" s="73">
        <v>429200</v>
      </c>
    </row>
    <row r="12" spans="1:11" x14ac:dyDescent="0.25">
      <c r="A12" s="107">
        <v>32</v>
      </c>
      <c r="B12" s="108"/>
      <c r="C12" s="109"/>
      <c r="D12" s="26" t="s">
        <v>22</v>
      </c>
      <c r="E12" s="71">
        <f>439860.28/7.5345</f>
        <v>58379.491671643773</v>
      </c>
      <c r="F12" s="72">
        <v>80178</v>
      </c>
      <c r="G12" s="72">
        <v>77900</v>
      </c>
      <c r="H12" s="72">
        <v>74950</v>
      </c>
      <c r="I12" s="73">
        <v>74950</v>
      </c>
    </row>
    <row r="13" spans="1:11" ht="15" customHeight="1" x14ac:dyDescent="0.25">
      <c r="A13" s="53">
        <v>34</v>
      </c>
      <c r="B13" s="54"/>
      <c r="C13" s="55"/>
      <c r="D13" s="26" t="s">
        <v>79</v>
      </c>
      <c r="E13" s="71">
        <f>7461.52/7.5345</f>
        <v>990.31388944190064</v>
      </c>
      <c r="F13" s="72">
        <v>1000</v>
      </c>
      <c r="G13" s="72">
        <v>800</v>
      </c>
      <c r="H13" s="72">
        <v>800</v>
      </c>
      <c r="I13" s="72">
        <v>800</v>
      </c>
    </row>
    <row r="14" spans="1:11" ht="25.5" x14ac:dyDescent="0.25">
      <c r="A14" s="110" t="s">
        <v>96</v>
      </c>
      <c r="B14" s="111"/>
      <c r="C14" s="112"/>
      <c r="D14" s="34" t="s">
        <v>76</v>
      </c>
      <c r="E14" s="71">
        <f>E15+E19</f>
        <v>17032.542305395182</v>
      </c>
      <c r="F14" s="71">
        <f t="shared" ref="F14:I14" si="5">F15+F19</f>
        <v>6816</v>
      </c>
      <c r="G14" s="71">
        <f t="shared" si="5"/>
        <v>10000</v>
      </c>
      <c r="H14" s="71">
        <f t="shared" si="5"/>
        <v>14000</v>
      </c>
      <c r="I14" s="71">
        <f t="shared" si="5"/>
        <v>14000</v>
      </c>
    </row>
    <row r="15" spans="1:11" x14ac:dyDescent="0.25">
      <c r="A15" s="113">
        <v>3</v>
      </c>
      <c r="B15" s="114"/>
      <c r="C15" s="115"/>
      <c r="D15" s="26" t="s">
        <v>9</v>
      </c>
      <c r="E15" s="71">
        <f>SUM(E16:E18)</f>
        <v>15988.907027672705</v>
      </c>
      <c r="F15" s="71">
        <f t="shared" ref="F15:I15" si="6">SUM(F16:F18)</f>
        <v>4629</v>
      </c>
      <c r="G15" s="71">
        <f t="shared" si="6"/>
        <v>7000</v>
      </c>
      <c r="H15" s="71">
        <f t="shared" si="6"/>
        <v>12000</v>
      </c>
      <c r="I15" s="71">
        <f t="shared" si="6"/>
        <v>10000</v>
      </c>
    </row>
    <row r="16" spans="1:11" ht="15" customHeight="1" x14ac:dyDescent="0.25">
      <c r="A16" s="107">
        <v>31</v>
      </c>
      <c r="B16" s="108"/>
      <c r="C16" s="109"/>
      <c r="D16" s="26" t="s">
        <v>10</v>
      </c>
      <c r="E16" s="71">
        <v>0</v>
      </c>
      <c r="F16" s="72">
        <v>3780</v>
      </c>
      <c r="G16" s="72">
        <v>7000</v>
      </c>
      <c r="H16" s="72">
        <v>12000</v>
      </c>
      <c r="I16" s="73">
        <v>10000</v>
      </c>
    </row>
    <row r="17" spans="1:9" x14ac:dyDescent="0.25">
      <c r="A17" s="107">
        <v>32</v>
      </c>
      <c r="B17" s="108"/>
      <c r="C17" s="109"/>
      <c r="D17" s="26" t="s">
        <v>22</v>
      </c>
      <c r="E17" s="71">
        <f>120468.42/7.5345</f>
        <v>15988.907027672705</v>
      </c>
      <c r="F17" s="72">
        <v>849</v>
      </c>
      <c r="G17" s="72">
        <v>0</v>
      </c>
      <c r="H17" s="72">
        <v>0</v>
      </c>
      <c r="I17" s="72">
        <v>0</v>
      </c>
    </row>
    <row r="18" spans="1:9" x14ac:dyDescent="0.25">
      <c r="A18" s="53">
        <v>34</v>
      </c>
      <c r="B18" s="54"/>
      <c r="C18" s="55"/>
      <c r="D18" s="26" t="s">
        <v>79</v>
      </c>
      <c r="E18" s="71">
        <v>0</v>
      </c>
      <c r="F18" s="72">
        <v>0</v>
      </c>
      <c r="G18" s="72">
        <v>0</v>
      </c>
      <c r="H18" s="72">
        <v>0</v>
      </c>
      <c r="I18" s="72">
        <v>0</v>
      </c>
    </row>
    <row r="19" spans="1:9" ht="25.5" x14ac:dyDescent="0.25">
      <c r="A19" s="113">
        <v>4</v>
      </c>
      <c r="B19" s="114"/>
      <c r="C19" s="115"/>
      <c r="D19" s="26" t="s">
        <v>11</v>
      </c>
      <c r="E19" s="71">
        <f>E20</f>
        <v>1043.6352777224765</v>
      </c>
      <c r="F19" s="71">
        <f t="shared" ref="F19:I19" si="7">F20</f>
        <v>2187</v>
      </c>
      <c r="G19" s="71">
        <f t="shared" si="7"/>
        <v>3000</v>
      </c>
      <c r="H19" s="71">
        <f t="shared" si="7"/>
        <v>2000</v>
      </c>
      <c r="I19" s="71">
        <f t="shared" si="7"/>
        <v>4000</v>
      </c>
    </row>
    <row r="20" spans="1:9" ht="25.5" x14ac:dyDescent="0.25">
      <c r="A20" s="107">
        <v>42</v>
      </c>
      <c r="B20" s="108"/>
      <c r="C20" s="109"/>
      <c r="D20" s="26" t="s">
        <v>30</v>
      </c>
      <c r="E20" s="71">
        <f>7863.27/7.5345</f>
        <v>1043.6352777224765</v>
      </c>
      <c r="F20" s="72">
        <v>2187</v>
      </c>
      <c r="G20" s="72">
        <v>3000</v>
      </c>
      <c r="H20" s="72">
        <v>2000</v>
      </c>
      <c r="I20" s="73">
        <v>4000</v>
      </c>
    </row>
    <row r="21" spans="1:9" x14ac:dyDescent="0.25">
      <c r="A21" s="110" t="s">
        <v>97</v>
      </c>
      <c r="B21" s="111"/>
      <c r="C21" s="112"/>
      <c r="D21" s="16" t="s">
        <v>98</v>
      </c>
      <c r="E21" s="71">
        <f>E22</f>
        <v>4454.1376335523255</v>
      </c>
      <c r="F21" s="71">
        <f t="shared" ref="F21:I21" si="8">F22</f>
        <v>0</v>
      </c>
      <c r="G21" s="71">
        <f t="shared" si="8"/>
        <v>0</v>
      </c>
      <c r="H21" s="71">
        <f t="shared" si="8"/>
        <v>0</v>
      </c>
      <c r="I21" s="71">
        <f t="shared" si="8"/>
        <v>0</v>
      </c>
    </row>
    <row r="22" spans="1:9" x14ac:dyDescent="0.25">
      <c r="A22" s="113">
        <v>3</v>
      </c>
      <c r="B22" s="114"/>
      <c r="C22" s="115"/>
      <c r="D22" s="26" t="s">
        <v>9</v>
      </c>
      <c r="E22" s="71">
        <f>SUM(E23:E24)</f>
        <v>4454.1376335523255</v>
      </c>
      <c r="F22" s="71">
        <f t="shared" ref="F22:I22" si="9">SUM(F23:F24)</f>
        <v>0</v>
      </c>
      <c r="G22" s="71">
        <f t="shared" si="9"/>
        <v>0</v>
      </c>
      <c r="H22" s="71">
        <f t="shared" si="9"/>
        <v>0</v>
      </c>
      <c r="I22" s="71">
        <f t="shared" si="9"/>
        <v>0</v>
      </c>
    </row>
    <row r="23" spans="1:9" x14ac:dyDescent="0.25">
      <c r="A23" s="107">
        <v>31</v>
      </c>
      <c r="B23" s="108"/>
      <c r="C23" s="109"/>
      <c r="D23" s="26" t="s">
        <v>10</v>
      </c>
      <c r="E23" s="71">
        <f>21846.94/7.5345</f>
        <v>2899.58723206583</v>
      </c>
      <c r="F23" s="72">
        <v>0</v>
      </c>
      <c r="G23" s="71">
        <f t="shared" ref="G23:I23" si="10">SUM(G24:G25)</f>
        <v>0</v>
      </c>
      <c r="H23" s="71">
        <f t="shared" si="10"/>
        <v>0</v>
      </c>
      <c r="I23" s="71">
        <f t="shared" si="10"/>
        <v>0</v>
      </c>
    </row>
    <row r="24" spans="1:9" x14ac:dyDescent="0.25">
      <c r="A24" s="107">
        <v>32</v>
      </c>
      <c r="B24" s="108"/>
      <c r="C24" s="109"/>
      <c r="D24" s="26" t="s">
        <v>22</v>
      </c>
      <c r="E24" s="71">
        <f>11712.76/7.5345</f>
        <v>1554.5504014864955</v>
      </c>
      <c r="F24" s="72">
        <v>0</v>
      </c>
      <c r="G24" s="71">
        <f t="shared" ref="G24:I24" si="11">SUM(G25:G26)</f>
        <v>0</v>
      </c>
      <c r="H24" s="71">
        <f t="shared" si="11"/>
        <v>0</v>
      </c>
      <c r="I24" s="71">
        <f t="shared" si="11"/>
        <v>0</v>
      </c>
    </row>
    <row r="25" spans="1:9" x14ac:dyDescent="0.25">
      <c r="A25" s="110" t="s">
        <v>112</v>
      </c>
      <c r="B25" s="111"/>
      <c r="C25" s="112"/>
      <c r="D25" s="16" t="s">
        <v>98</v>
      </c>
      <c r="E25" s="71">
        <f>E26</f>
        <v>0</v>
      </c>
      <c r="F25" s="71">
        <f t="shared" ref="F25" si="12">F26</f>
        <v>397</v>
      </c>
      <c r="G25" s="71">
        <f t="shared" ref="G25" si="13">G26</f>
        <v>0</v>
      </c>
      <c r="H25" s="71">
        <f t="shared" ref="H25" si="14">H26</f>
        <v>0</v>
      </c>
      <c r="I25" s="71">
        <f t="shared" ref="I25" si="15">I26</f>
        <v>0</v>
      </c>
    </row>
    <row r="26" spans="1:9" x14ac:dyDescent="0.25">
      <c r="A26" s="113">
        <v>3</v>
      </c>
      <c r="B26" s="114"/>
      <c r="C26" s="115"/>
      <c r="D26" s="26" t="s">
        <v>9</v>
      </c>
      <c r="E26" s="71">
        <v>0</v>
      </c>
      <c r="F26" s="71">
        <f t="shared" ref="F26" si="16">SUM(F27:F28)</f>
        <v>397</v>
      </c>
      <c r="G26" s="71">
        <f t="shared" ref="G26:I27" si="17">SUM(G27:G28)</f>
        <v>0</v>
      </c>
      <c r="H26" s="71">
        <f t="shared" ref="H26" si="18">SUM(H27:H28)</f>
        <v>0</v>
      </c>
      <c r="I26" s="71">
        <f t="shared" ref="I26" si="19">SUM(I27:I28)</f>
        <v>0</v>
      </c>
    </row>
    <row r="27" spans="1:9" x14ac:dyDescent="0.25">
      <c r="A27" s="107">
        <v>31</v>
      </c>
      <c r="B27" s="108"/>
      <c r="C27" s="109"/>
      <c r="D27" s="26" t="s">
        <v>10</v>
      </c>
      <c r="E27" s="71">
        <v>0</v>
      </c>
      <c r="F27" s="72">
        <v>397</v>
      </c>
      <c r="G27" s="71">
        <f t="shared" si="17"/>
        <v>0</v>
      </c>
      <c r="H27" s="71">
        <f t="shared" si="17"/>
        <v>0</v>
      </c>
      <c r="I27" s="71">
        <f t="shared" si="17"/>
        <v>0</v>
      </c>
    </row>
    <row r="28" spans="1:9" s="57" customFormat="1" ht="38.25" x14ac:dyDescent="0.25">
      <c r="A28" s="101" t="s">
        <v>99</v>
      </c>
      <c r="B28" s="102"/>
      <c r="C28" s="103"/>
      <c r="D28" s="27" t="s">
        <v>100</v>
      </c>
      <c r="E28" s="70">
        <f>E29</f>
        <v>1576.4257747693939</v>
      </c>
      <c r="F28" s="70">
        <f t="shared" ref="F28:I28" si="20">F29</f>
        <v>0</v>
      </c>
      <c r="G28" s="70">
        <f t="shared" si="20"/>
        <v>0</v>
      </c>
      <c r="H28" s="70">
        <f t="shared" si="20"/>
        <v>0</v>
      </c>
      <c r="I28" s="70">
        <f t="shared" si="20"/>
        <v>0</v>
      </c>
    </row>
    <row r="29" spans="1:9" s="57" customFormat="1" ht="40.5" customHeight="1" x14ac:dyDescent="0.25">
      <c r="A29" s="101" t="s">
        <v>101</v>
      </c>
      <c r="B29" s="102"/>
      <c r="C29" s="103"/>
      <c r="D29" s="27" t="s">
        <v>102</v>
      </c>
      <c r="E29" s="70">
        <f>E30+E36+E39</f>
        <v>1576.4257747693939</v>
      </c>
      <c r="F29" s="70">
        <f t="shared" ref="F29:I29" si="21">F30+F36+F39</f>
        <v>0</v>
      </c>
      <c r="G29" s="70">
        <f t="shared" si="21"/>
        <v>0</v>
      </c>
      <c r="H29" s="70">
        <f t="shared" si="21"/>
        <v>0</v>
      </c>
      <c r="I29" s="70">
        <f t="shared" si="21"/>
        <v>0</v>
      </c>
    </row>
    <row r="30" spans="1:9" ht="25.5" x14ac:dyDescent="0.25">
      <c r="A30" s="110" t="s">
        <v>96</v>
      </c>
      <c r="B30" s="111"/>
      <c r="C30" s="112"/>
      <c r="D30" s="34" t="s">
        <v>76</v>
      </c>
      <c r="E30" s="71">
        <f>E31+E34</f>
        <v>236.46426438383435</v>
      </c>
      <c r="F30" s="71">
        <f t="shared" ref="F30:I30" si="22">F31+F34</f>
        <v>0</v>
      </c>
      <c r="G30" s="71">
        <f t="shared" si="22"/>
        <v>0</v>
      </c>
      <c r="H30" s="71">
        <f t="shared" si="22"/>
        <v>0</v>
      </c>
      <c r="I30" s="71">
        <f t="shared" si="22"/>
        <v>0</v>
      </c>
    </row>
    <row r="31" spans="1:9" x14ac:dyDescent="0.25">
      <c r="A31" s="113">
        <v>3</v>
      </c>
      <c r="B31" s="114"/>
      <c r="C31" s="115"/>
      <c r="D31" s="26" t="s">
        <v>9</v>
      </c>
      <c r="E31" s="71">
        <f>SUM(E32:E33)</f>
        <v>179.49167164377198</v>
      </c>
      <c r="F31" s="71">
        <f t="shared" ref="F31:I31" si="23">SUM(F32:F33)</f>
        <v>0</v>
      </c>
      <c r="G31" s="71">
        <f t="shared" si="23"/>
        <v>0</v>
      </c>
      <c r="H31" s="71">
        <f t="shared" si="23"/>
        <v>0</v>
      </c>
      <c r="I31" s="71">
        <f t="shared" si="23"/>
        <v>0</v>
      </c>
    </row>
    <row r="32" spans="1:9" x14ac:dyDescent="0.25">
      <c r="A32" s="107">
        <v>31</v>
      </c>
      <c r="B32" s="108"/>
      <c r="C32" s="109"/>
      <c r="D32" s="26" t="s">
        <v>10</v>
      </c>
      <c r="E32" s="71">
        <f>206.73/7.5345</f>
        <v>27.437786183555641</v>
      </c>
      <c r="F32" s="72">
        <v>0</v>
      </c>
      <c r="G32" s="71">
        <f t="shared" ref="G32:I32" si="24">SUM(G33:G34)</f>
        <v>0</v>
      </c>
      <c r="H32" s="71">
        <f t="shared" si="24"/>
        <v>0</v>
      </c>
      <c r="I32" s="71">
        <f t="shared" si="24"/>
        <v>0</v>
      </c>
    </row>
    <row r="33" spans="1:9" x14ac:dyDescent="0.25">
      <c r="A33" s="107">
        <v>32</v>
      </c>
      <c r="B33" s="108"/>
      <c r="C33" s="109"/>
      <c r="D33" s="26" t="s">
        <v>22</v>
      </c>
      <c r="E33" s="71">
        <f>1145.65/7.5345</f>
        <v>152.05388546021635</v>
      </c>
      <c r="F33" s="72">
        <v>0</v>
      </c>
      <c r="G33" s="71">
        <f t="shared" ref="G33:I33" si="25">SUM(G34:G35)</f>
        <v>0</v>
      </c>
      <c r="H33" s="71">
        <f t="shared" si="25"/>
        <v>0</v>
      </c>
      <c r="I33" s="71">
        <f t="shared" si="25"/>
        <v>0</v>
      </c>
    </row>
    <row r="34" spans="1:9" ht="25.5" x14ac:dyDescent="0.25">
      <c r="A34" s="113">
        <v>4</v>
      </c>
      <c r="B34" s="114"/>
      <c r="C34" s="115"/>
      <c r="D34" s="26" t="s">
        <v>11</v>
      </c>
      <c r="E34" s="71">
        <f>E35</f>
        <v>56.972592740062375</v>
      </c>
      <c r="F34" s="71">
        <f t="shared" ref="F34:I34" si="26">F35</f>
        <v>0</v>
      </c>
      <c r="G34" s="71">
        <f t="shared" si="26"/>
        <v>0</v>
      </c>
      <c r="H34" s="71">
        <f t="shared" si="26"/>
        <v>0</v>
      </c>
      <c r="I34" s="71">
        <f t="shared" si="26"/>
        <v>0</v>
      </c>
    </row>
    <row r="35" spans="1:9" ht="25.5" x14ac:dyDescent="0.25">
      <c r="A35" s="107">
        <v>42</v>
      </c>
      <c r="B35" s="108"/>
      <c r="C35" s="109"/>
      <c r="D35" s="26" t="s">
        <v>30</v>
      </c>
      <c r="E35" s="71">
        <f>429.26/7.5345</f>
        <v>56.972592740062375</v>
      </c>
      <c r="F35" s="72">
        <v>0</v>
      </c>
      <c r="G35" s="71">
        <f t="shared" ref="G35:I35" si="27">SUM(G36:G37)</f>
        <v>0</v>
      </c>
      <c r="H35" s="71">
        <f t="shared" si="27"/>
        <v>0</v>
      </c>
      <c r="I35" s="71">
        <f t="shared" si="27"/>
        <v>0</v>
      </c>
    </row>
    <row r="36" spans="1:9" x14ac:dyDescent="0.25">
      <c r="A36" s="110" t="s">
        <v>103</v>
      </c>
      <c r="B36" s="111"/>
      <c r="C36" s="112"/>
      <c r="D36" s="34" t="s">
        <v>104</v>
      </c>
      <c r="E36" s="71">
        <f>E37</f>
        <v>322.84424978432537</v>
      </c>
      <c r="F36" s="71">
        <f t="shared" ref="F36:I36" si="28">F37</f>
        <v>0</v>
      </c>
      <c r="G36" s="71">
        <f t="shared" si="28"/>
        <v>0</v>
      </c>
      <c r="H36" s="71">
        <f t="shared" si="28"/>
        <v>0</v>
      </c>
      <c r="I36" s="71">
        <f t="shared" si="28"/>
        <v>0</v>
      </c>
    </row>
    <row r="37" spans="1:9" ht="25.5" x14ac:dyDescent="0.25">
      <c r="A37" s="113">
        <v>4</v>
      </c>
      <c r="B37" s="114"/>
      <c r="C37" s="115"/>
      <c r="D37" s="26" t="s">
        <v>11</v>
      </c>
      <c r="E37" s="71">
        <f>E38</f>
        <v>322.84424978432537</v>
      </c>
      <c r="F37" s="71">
        <f t="shared" ref="F37:I37" si="29">F38</f>
        <v>0</v>
      </c>
      <c r="G37" s="71">
        <f t="shared" si="29"/>
        <v>0</v>
      </c>
      <c r="H37" s="71">
        <f t="shared" si="29"/>
        <v>0</v>
      </c>
      <c r="I37" s="71">
        <f t="shared" si="29"/>
        <v>0</v>
      </c>
    </row>
    <row r="38" spans="1:9" ht="25.5" x14ac:dyDescent="0.25">
      <c r="A38" s="107">
        <v>42</v>
      </c>
      <c r="B38" s="108"/>
      <c r="C38" s="109"/>
      <c r="D38" s="26" t="s">
        <v>30</v>
      </c>
      <c r="E38" s="71">
        <f>2432.47/7.5345</f>
        <v>322.84424978432537</v>
      </c>
      <c r="F38" s="72">
        <v>0</v>
      </c>
      <c r="G38" s="71">
        <f t="shared" ref="G38:I38" si="30">SUM(G39:G40)</f>
        <v>0</v>
      </c>
      <c r="H38" s="71">
        <f t="shared" si="30"/>
        <v>0</v>
      </c>
      <c r="I38" s="71">
        <f t="shared" si="30"/>
        <v>0</v>
      </c>
    </row>
    <row r="39" spans="1:9" ht="25.5" x14ac:dyDescent="0.25">
      <c r="A39" s="110" t="s">
        <v>105</v>
      </c>
      <c r="B39" s="111"/>
      <c r="C39" s="112"/>
      <c r="D39" s="34" t="s">
        <v>74</v>
      </c>
      <c r="E39" s="71">
        <f>E40</f>
        <v>1017.1172606012342</v>
      </c>
      <c r="F39" s="71">
        <f t="shared" ref="F39:I39" si="31">F40</f>
        <v>0</v>
      </c>
      <c r="G39" s="71">
        <f t="shared" si="31"/>
        <v>0</v>
      </c>
      <c r="H39" s="71">
        <f t="shared" si="31"/>
        <v>0</v>
      </c>
      <c r="I39" s="71">
        <f t="shared" si="31"/>
        <v>0</v>
      </c>
    </row>
    <row r="40" spans="1:9" x14ac:dyDescent="0.25">
      <c r="A40" s="113">
        <v>3</v>
      </c>
      <c r="B40" s="114"/>
      <c r="C40" s="115"/>
      <c r="D40" s="26" t="s">
        <v>9</v>
      </c>
      <c r="E40" s="71">
        <f>SUM(E41:E42)</f>
        <v>1017.1172606012342</v>
      </c>
      <c r="F40" s="71">
        <f t="shared" ref="F40:I40" si="32">SUM(F41:F42)</f>
        <v>0</v>
      </c>
      <c r="G40" s="71">
        <f t="shared" si="32"/>
        <v>0</v>
      </c>
      <c r="H40" s="71">
        <f t="shared" si="32"/>
        <v>0</v>
      </c>
      <c r="I40" s="71">
        <f t="shared" si="32"/>
        <v>0</v>
      </c>
    </row>
    <row r="41" spans="1:9" x14ac:dyDescent="0.25">
      <c r="A41" s="107">
        <v>31</v>
      </c>
      <c r="B41" s="108"/>
      <c r="C41" s="109"/>
      <c r="D41" s="26" t="s">
        <v>10</v>
      </c>
      <c r="E41" s="71">
        <f>1171.47/7.5345</f>
        <v>155.48078837348197</v>
      </c>
      <c r="F41" s="72">
        <v>0</v>
      </c>
      <c r="G41" s="71">
        <f t="shared" ref="G41:I41" si="33">SUM(G42:G43)</f>
        <v>0</v>
      </c>
      <c r="H41" s="71">
        <f t="shared" si="33"/>
        <v>0</v>
      </c>
      <c r="I41" s="71">
        <f t="shared" si="33"/>
        <v>0</v>
      </c>
    </row>
    <row r="42" spans="1:9" x14ac:dyDescent="0.25">
      <c r="A42" s="107">
        <v>32</v>
      </c>
      <c r="B42" s="108"/>
      <c r="C42" s="109"/>
      <c r="D42" s="26" t="s">
        <v>22</v>
      </c>
      <c r="E42" s="71">
        <f>6492/7.5345</f>
        <v>861.63647222775228</v>
      </c>
      <c r="F42" s="72">
        <v>0</v>
      </c>
      <c r="G42" s="71">
        <f t="shared" ref="G42:I42" si="34">SUM(G43:G44)</f>
        <v>0</v>
      </c>
      <c r="H42" s="71">
        <f t="shared" si="34"/>
        <v>0</v>
      </c>
      <c r="I42" s="71">
        <f t="shared" si="34"/>
        <v>0</v>
      </c>
    </row>
    <row r="43" spans="1:9" s="57" customFormat="1" x14ac:dyDescent="0.25">
      <c r="A43" s="101" t="s">
        <v>106</v>
      </c>
      <c r="B43" s="102"/>
      <c r="C43" s="103"/>
      <c r="D43" s="27" t="s">
        <v>107</v>
      </c>
      <c r="E43" s="70">
        <f>E44+E49</f>
        <v>4680.4472758643569</v>
      </c>
      <c r="F43" s="70">
        <f t="shared" ref="F43:I43" si="35">F44+F49</f>
        <v>4937</v>
      </c>
      <c r="G43" s="70">
        <f t="shared" si="35"/>
        <v>0</v>
      </c>
      <c r="H43" s="70">
        <f t="shared" si="35"/>
        <v>0</v>
      </c>
      <c r="I43" s="70">
        <f t="shared" si="35"/>
        <v>0</v>
      </c>
    </row>
    <row r="44" spans="1:9" s="57" customFormat="1" ht="25.5" x14ac:dyDescent="0.25">
      <c r="A44" s="101" t="s">
        <v>108</v>
      </c>
      <c r="B44" s="102"/>
      <c r="C44" s="103"/>
      <c r="D44" s="27" t="s">
        <v>110</v>
      </c>
      <c r="E44" s="70">
        <f>E45</f>
        <v>3087.2121574092503</v>
      </c>
      <c r="F44" s="70">
        <f t="shared" ref="F44:I44" si="36">F45</f>
        <v>0</v>
      </c>
      <c r="G44" s="70">
        <f t="shared" si="36"/>
        <v>0</v>
      </c>
      <c r="H44" s="70">
        <f t="shared" si="36"/>
        <v>0</v>
      </c>
      <c r="I44" s="70">
        <f t="shared" si="36"/>
        <v>0</v>
      </c>
    </row>
    <row r="45" spans="1:9" x14ac:dyDescent="0.25">
      <c r="A45" s="110" t="s">
        <v>109</v>
      </c>
      <c r="B45" s="111"/>
      <c r="C45" s="112"/>
      <c r="D45" s="34" t="s">
        <v>73</v>
      </c>
      <c r="E45" s="71">
        <f>E46</f>
        <v>3087.2121574092503</v>
      </c>
      <c r="F45" s="71">
        <f t="shared" ref="F45:I45" si="37">F46</f>
        <v>0</v>
      </c>
      <c r="G45" s="71">
        <f t="shared" si="37"/>
        <v>0</v>
      </c>
      <c r="H45" s="71">
        <f t="shared" si="37"/>
        <v>0</v>
      </c>
      <c r="I45" s="71">
        <f t="shared" si="37"/>
        <v>0</v>
      </c>
    </row>
    <row r="46" spans="1:9" x14ac:dyDescent="0.25">
      <c r="A46" s="113">
        <v>3</v>
      </c>
      <c r="B46" s="114"/>
      <c r="C46" s="115"/>
      <c r="D46" s="26" t="s">
        <v>9</v>
      </c>
      <c r="E46" s="71">
        <f>SUM(E47:E48)</f>
        <v>3087.2121574092503</v>
      </c>
      <c r="F46" s="71">
        <f t="shared" ref="F46:I46" si="38">SUM(F47:F48)</f>
        <v>0</v>
      </c>
      <c r="G46" s="71">
        <f t="shared" si="38"/>
        <v>0</v>
      </c>
      <c r="H46" s="71">
        <f t="shared" si="38"/>
        <v>0</v>
      </c>
      <c r="I46" s="71">
        <f t="shared" si="38"/>
        <v>0</v>
      </c>
    </row>
    <row r="47" spans="1:9" x14ac:dyDescent="0.25">
      <c r="A47" s="107">
        <v>31</v>
      </c>
      <c r="B47" s="108"/>
      <c r="C47" s="109"/>
      <c r="D47" s="26" t="s">
        <v>10</v>
      </c>
      <c r="E47" s="71">
        <f>22105.1/7.5345</f>
        <v>2933.85095228615</v>
      </c>
      <c r="F47" s="72">
        <v>0</v>
      </c>
      <c r="G47" s="71">
        <f t="shared" ref="G47:I47" si="39">SUM(G48:G49)</f>
        <v>0</v>
      </c>
      <c r="H47" s="71">
        <f t="shared" si="39"/>
        <v>0</v>
      </c>
      <c r="I47" s="71">
        <f t="shared" si="39"/>
        <v>0</v>
      </c>
    </row>
    <row r="48" spans="1:9" x14ac:dyDescent="0.25">
      <c r="A48" s="107">
        <v>32</v>
      </c>
      <c r="B48" s="108"/>
      <c r="C48" s="109"/>
      <c r="D48" s="26" t="s">
        <v>22</v>
      </c>
      <c r="E48" s="71">
        <f>1155.5/7.5345</f>
        <v>153.3612051231004</v>
      </c>
      <c r="F48" s="72">
        <v>0</v>
      </c>
      <c r="G48" s="71">
        <f t="shared" ref="G48:I48" si="40">SUM(G49:G50)</f>
        <v>0</v>
      </c>
      <c r="H48" s="71">
        <f t="shared" si="40"/>
        <v>0</v>
      </c>
      <c r="I48" s="71">
        <f t="shared" si="40"/>
        <v>0</v>
      </c>
    </row>
    <row r="49" spans="1:9" s="57" customFormat="1" ht="25.5" x14ac:dyDescent="0.25">
      <c r="A49" s="101" t="s">
        <v>108</v>
      </c>
      <c r="B49" s="102"/>
      <c r="C49" s="103"/>
      <c r="D49" s="27" t="s">
        <v>111</v>
      </c>
      <c r="E49" s="70">
        <f>E50</f>
        <v>1593.2351184551064</v>
      </c>
      <c r="F49" s="70">
        <f t="shared" ref="F49:I49" si="41">F50</f>
        <v>4937</v>
      </c>
      <c r="G49" s="70">
        <f t="shared" si="41"/>
        <v>0</v>
      </c>
      <c r="H49" s="70">
        <f t="shared" si="41"/>
        <v>0</v>
      </c>
      <c r="I49" s="70">
        <f t="shared" si="41"/>
        <v>0</v>
      </c>
    </row>
    <row r="50" spans="1:9" x14ac:dyDescent="0.25">
      <c r="A50" s="110" t="s">
        <v>109</v>
      </c>
      <c r="B50" s="111"/>
      <c r="C50" s="112"/>
      <c r="D50" s="34" t="s">
        <v>73</v>
      </c>
      <c r="E50" s="71">
        <f>E51</f>
        <v>1593.2351184551064</v>
      </c>
      <c r="F50" s="71">
        <f t="shared" ref="F50:I50" si="42">F51</f>
        <v>4937</v>
      </c>
      <c r="G50" s="71">
        <f t="shared" si="42"/>
        <v>0</v>
      </c>
      <c r="H50" s="71">
        <f t="shared" si="42"/>
        <v>0</v>
      </c>
      <c r="I50" s="71">
        <f t="shared" si="42"/>
        <v>0</v>
      </c>
    </row>
    <row r="51" spans="1:9" x14ac:dyDescent="0.25">
      <c r="A51" s="113">
        <v>3</v>
      </c>
      <c r="B51" s="114"/>
      <c r="C51" s="115"/>
      <c r="D51" s="26" t="s">
        <v>9</v>
      </c>
      <c r="E51" s="71">
        <f>SUM(E52:E53)</f>
        <v>1593.2351184551064</v>
      </c>
      <c r="F51" s="71">
        <f t="shared" ref="F51:I51" si="43">SUM(F52:F53)</f>
        <v>4937</v>
      </c>
      <c r="G51" s="71">
        <f t="shared" si="43"/>
        <v>0</v>
      </c>
      <c r="H51" s="71">
        <f t="shared" si="43"/>
        <v>0</v>
      </c>
      <c r="I51" s="71">
        <f t="shared" si="43"/>
        <v>0</v>
      </c>
    </row>
    <row r="52" spans="1:9" x14ac:dyDescent="0.25">
      <c r="A52" s="107">
        <v>31</v>
      </c>
      <c r="B52" s="108"/>
      <c r="C52" s="109"/>
      <c r="D52" s="26" t="s">
        <v>10</v>
      </c>
      <c r="E52" s="71">
        <f>11440.49/7.5345</f>
        <v>1518.4139624394452</v>
      </c>
      <c r="F52" s="72">
        <v>4645</v>
      </c>
      <c r="G52" s="71">
        <f t="shared" ref="G52:I52" si="44">SUM(G53:G54)</f>
        <v>0</v>
      </c>
      <c r="H52" s="71">
        <f t="shared" si="44"/>
        <v>0</v>
      </c>
      <c r="I52" s="71">
        <f t="shared" si="44"/>
        <v>0</v>
      </c>
    </row>
    <row r="53" spans="1:9" x14ac:dyDescent="0.25">
      <c r="A53" s="107">
        <v>32</v>
      </c>
      <c r="B53" s="108"/>
      <c r="C53" s="109"/>
      <c r="D53" s="26" t="s">
        <v>22</v>
      </c>
      <c r="E53" s="71">
        <f>563.74/7.5345</f>
        <v>74.821156015661288</v>
      </c>
      <c r="F53" s="72">
        <v>292</v>
      </c>
      <c r="G53" s="71">
        <f t="shared" ref="G53:I53" si="45">SUM(G54:G55)</f>
        <v>0</v>
      </c>
      <c r="H53" s="71">
        <f t="shared" si="45"/>
        <v>0</v>
      </c>
      <c r="I53" s="71">
        <f t="shared" si="45"/>
        <v>0</v>
      </c>
    </row>
    <row r="56" spans="1:9" ht="15.75" x14ac:dyDescent="0.25">
      <c r="A56" s="119" t="s">
        <v>115</v>
      </c>
      <c r="I56" s="120" t="s">
        <v>118</v>
      </c>
    </row>
    <row r="57" spans="1:9" ht="15.75" x14ac:dyDescent="0.25">
      <c r="A57" s="119" t="s">
        <v>117</v>
      </c>
      <c r="I57" s="121" t="s">
        <v>119</v>
      </c>
    </row>
    <row r="58" spans="1:9" ht="15.75" x14ac:dyDescent="0.25">
      <c r="A58" s="119" t="s">
        <v>116</v>
      </c>
    </row>
  </sheetData>
  <mergeCells count="49">
    <mergeCell ref="A51:C51"/>
    <mergeCell ref="A52:C52"/>
    <mergeCell ref="A53:C53"/>
    <mergeCell ref="A6:C6"/>
    <mergeCell ref="A27:C27"/>
    <mergeCell ref="A44:C44"/>
    <mergeCell ref="A45:C45"/>
    <mergeCell ref="A46:C46"/>
    <mergeCell ref="A47:C47"/>
    <mergeCell ref="A48:C48"/>
    <mergeCell ref="A49:C49"/>
    <mergeCell ref="A50:C50"/>
    <mergeCell ref="A43:C43"/>
    <mergeCell ref="A39:C39"/>
    <mergeCell ref="A40:C40"/>
    <mergeCell ref="A41:C41"/>
    <mergeCell ref="A42:C42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8:C28"/>
    <mergeCell ref="A19:C19"/>
    <mergeCell ref="A20:C20"/>
    <mergeCell ref="A21:C21"/>
    <mergeCell ref="A22:C22"/>
    <mergeCell ref="A23:C23"/>
    <mergeCell ref="A17:C17"/>
    <mergeCell ref="A14:C14"/>
    <mergeCell ref="A16:C16"/>
    <mergeCell ref="A9:C9"/>
    <mergeCell ref="A10:C10"/>
    <mergeCell ref="A12:C12"/>
    <mergeCell ref="A11:C11"/>
    <mergeCell ref="A15:C15"/>
    <mergeCell ref="A7:C7"/>
    <mergeCell ref="A8:C8"/>
    <mergeCell ref="A1:I1"/>
    <mergeCell ref="A3:I3"/>
    <mergeCell ref="A5:C5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Margereta Stanic</cp:lastModifiedBy>
  <cp:lastPrinted>2023-09-27T05:54:46Z</cp:lastPrinted>
  <dcterms:created xsi:type="dcterms:W3CDTF">2022-08-12T12:51:27Z</dcterms:created>
  <dcterms:modified xsi:type="dcterms:W3CDTF">2023-10-04T12:31:51Z</dcterms:modified>
</cp:coreProperties>
</file>