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VTA\Financije i računovodstvo\"/>
    </mc:Choice>
  </mc:AlternateContent>
  <xr:revisionPtr revIDLastSave="0" documentId="13_ncr:1_{DC0B0EFC-69E4-496E-B557-6958FADD73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0" l="1"/>
  <c r="H37" i="10" s="1"/>
  <c r="H8" i="7"/>
  <c r="H6" i="7"/>
  <c r="H42" i="7"/>
  <c r="G50" i="7"/>
  <c r="G49" i="7" s="1"/>
  <c r="G48" i="7" s="1"/>
  <c r="G39" i="7"/>
  <c r="G38" i="7" s="1"/>
  <c r="G36" i="7"/>
  <c r="G35" i="7" s="1"/>
  <c r="G33" i="7"/>
  <c r="G30" i="7"/>
  <c r="G29" i="7"/>
  <c r="H11" i="7"/>
  <c r="H12" i="7"/>
  <c r="H13" i="7"/>
  <c r="H16" i="7"/>
  <c r="H17" i="7"/>
  <c r="H19" i="7"/>
  <c r="I11" i="7"/>
  <c r="I12" i="7"/>
  <c r="I13" i="7"/>
  <c r="I16" i="7"/>
  <c r="I17" i="7"/>
  <c r="I19" i="7"/>
  <c r="E52" i="7"/>
  <c r="E51" i="7"/>
  <c r="E50" i="7" s="1"/>
  <c r="E49" i="7" s="1"/>
  <c r="E48" i="7" s="1"/>
  <c r="F50" i="7"/>
  <c r="F49" i="7"/>
  <c r="F48" i="7"/>
  <c r="E47" i="7"/>
  <c r="E46" i="7"/>
  <c r="E45" i="7" s="1"/>
  <c r="E44" i="7" s="1"/>
  <c r="E43" i="7" s="1"/>
  <c r="F45" i="7"/>
  <c r="F44" i="7"/>
  <c r="F43" i="7" s="1"/>
  <c r="E41" i="7"/>
  <c r="E39" i="7" s="1"/>
  <c r="E38" i="7" s="1"/>
  <c r="E40" i="7"/>
  <c r="F39" i="7"/>
  <c r="F38" i="7" s="1"/>
  <c r="E37" i="7"/>
  <c r="F36" i="7"/>
  <c r="F35" i="7" s="1"/>
  <c r="E36" i="7"/>
  <c r="E35" i="7" s="1"/>
  <c r="E34" i="7"/>
  <c r="E33" i="7" s="1"/>
  <c r="F33" i="7"/>
  <c r="E32" i="7"/>
  <c r="E30" i="7" s="1"/>
  <c r="E31" i="7"/>
  <c r="F30" i="7"/>
  <c r="F29" i="7" s="1"/>
  <c r="E24" i="7"/>
  <c r="E23" i="7"/>
  <c r="E22" i="7"/>
  <c r="F21" i="7"/>
  <c r="F20" i="7" s="1"/>
  <c r="E19" i="7"/>
  <c r="E18" i="7" s="1"/>
  <c r="G18" i="7"/>
  <c r="H18" i="7" s="1"/>
  <c r="F18" i="7"/>
  <c r="E17" i="7"/>
  <c r="E15" i="7" s="1"/>
  <c r="G15" i="7"/>
  <c r="F15" i="7"/>
  <c r="F14" i="7"/>
  <c r="E13" i="7"/>
  <c r="E12" i="7"/>
  <c r="E10" i="7" s="1"/>
  <c r="E9" i="7" s="1"/>
  <c r="E11" i="7"/>
  <c r="G10" i="7"/>
  <c r="G9" i="7" s="1"/>
  <c r="F10" i="7"/>
  <c r="F9" i="7" s="1"/>
  <c r="F14" i="5"/>
  <c r="F13" i="5" s="1"/>
  <c r="B14" i="5"/>
  <c r="B13" i="5" s="1"/>
  <c r="E13" i="5"/>
  <c r="D13" i="5"/>
  <c r="C13" i="5"/>
  <c r="C10" i="5" s="1"/>
  <c r="F12" i="5"/>
  <c r="F11" i="5" s="1"/>
  <c r="F10" i="5" s="1"/>
  <c r="B12" i="5"/>
  <c r="E11" i="5"/>
  <c r="D11" i="5"/>
  <c r="C11" i="5"/>
  <c r="B11" i="5"/>
  <c r="E10" i="5"/>
  <c r="D10" i="5"/>
  <c r="C23" i="8"/>
  <c r="F23" i="8"/>
  <c r="E27" i="8"/>
  <c r="F34" i="8"/>
  <c r="F33" i="8" s="1"/>
  <c r="F31" i="8"/>
  <c r="F32" i="8"/>
  <c r="F30" i="8"/>
  <c r="F28" i="8"/>
  <c r="F27" i="8"/>
  <c r="F25" i="8"/>
  <c r="G10" i="3"/>
  <c r="E10" i="8"/>
  <c r="F17" i="8"/>
  <c r="F16" i="8"/>
  <c r="F14" i="8"/>
  <c r="F13" i="8" s="1"/>
  <c r="F12" i="8"/>
  <c r="E33" i="8"/>
  <c r="D33" i="8"/>
  <c r="C33" i="8"/>
  <c r="B33" i="8"/>
  <c r="B32" i="8"/>
  <c r="B31" i="8"/>
  <c r="B30" i="8"/>
  <c r="B29" i="8" s="1"/>
  <c r="E29" i="8"/>
  <c r="D29" i="8"/>
  <c r="C29" i="8"/>
  <c r="B28" i="8"/>
  <c r="B27" i="8"/>
  <c r="E26" i="8"/>
  <c r="D26" i="8"/>
  <c r="C26" i="8"/>
  <c r="B26" i="8"/>
  <c r="B25" i="8"/>
  <c r="F24" i="8"/>
  <c r="E24" i="8"/>
  <c r="D24" i="8"/>
  <c r="C24" i="8"/>
  <c r="B24" i="8"/>
  <c r="B17" i="8"/>
  <c r="B16" i="8"/>
  <c r="B15" i="8" s="1"/>
  <c r="E15" i="8"/>
  <c r="D15" i="8"/>
  <c r="C15" i="8"/>
  <c r="C14" i="8"/>
  <c r="B14" i="8"/>
  <c r="B13" i="8" s="1"/>
  <c r="E13" i="8"/>
  <c r="D13" i="8"/>
  <c r="C13" i="8"/>
  <c r="B12" i="8"/>
  <c r="F11" i="8"/>
  <c r="E11" i="8"/>
  <c r="D11" i="8"/>
  <c r="D10" i="8" s="1"/>
  <c r="C11" i="8"/>
  <c r="C10" i="8" s="1"/>
  <c r="B11" i="8"/>
  <c r="B10" i="8" s="1"/>
  <c r="H21" i="3"/>
  <c r="H27" i="3"/>
  <c r="H26" i="3" s="1"/>
  <c r="H24" i="3"/>
  <c r="H25" i="3"/>
  <c r="H23" i="3"/>
  <c r="F26" i="3"/>
  <c r="G26" i="3"/>
  <c r="F22" i="3"/>
  <c r="G22" i="3"/>
  <c r="H13" i="3"/>
  <c r="H14" i="3"/>
  <c r="H15" i="3"/>
  <c r="H12" i="3"/>
  <c r="F10" i="3"/>
  <c r="F11" i="3"/>
  <c r="D27" i="3"/>
  <c r="D26" i="3" s="1"/>
  <c r="E26" i="3"/>
  <c r="E21" i="3" s="1"/>
  <c r="D25" i="3"/>
  <c r="D24" i="3"/>
  <c r="D22" i="3" s="1"/>
  <c r="D21" i="3" s="1"/>
  <c r="D23" i="3"/>
  <c r="E22" i="3"/>
  <c r="D15" i="3"/>
  <c r="D14" i="3"/>
  <c r="D13" i="3"/>
  <c r="D11" i="3" s="1"/>
  <c r="D10" i="3" s="1"/>
  <c r="D12" i="3"/>
  <c r="E11" i="3"/>
  <c r="E10" i="3" s="1"/>
  <c r="H21" i="10"/>
  <c r="J13" i="10"/>
  <c r="J12" i="10"/>
  <c r="J10" i="10"/>
  <c r="J9" i="10"/>
  <c r="I14" i="10"/>
  <c r="G34" i="10"/>
  <c r="G37" i="10" s="1"/>
  <c r="G29" i="10"/>
  <c r="G28" i="10"/>
  <c r="G21" i="10"/>
  <c r="G22" i="10" s="1"/>
  <c r="G11" i="10"/>
  <c r="G8" i="10"/>
  <c r="G14" i="10" s="1"/>
  <c r="F37" i="10"/>
  <c r="F21" i="10"/>
  <c r="G43" i="7" l="1"/>
  <c r="G42" i="7" s="1"/>
  <c r="I52" i="7"/>
  <c r="I51" i="7"/>
  <c r="H48" i="7"/>
  <c r="H43" i="7" s="1"/>
  <c r="H28" i="7" s="1"/>
  <c r="H27" i="7" s="1"/>
  <c r="I38" i="7"/>
  <c r="I40" i="7"/>
  <c r="I49" i="7"/>
  <c r="I48" i="7" s="1"/>
  <c r="I50" i="7"/>
  <c r="E14" i="7"/>
  <c r="F28" i="7"/>
  <c r="F27" i="7" s="1"/>
  <c r="F25" i="7" s="1"/>
  <c r="F42" i="7"/>
  <c r="I44" i="7"/>
  <c r="I43" i="7" s="1"/>
  <c r="I39" i="7"/>
  <c r="I47" i="7"/>
  <c r="E21" i="7"/>
  <c r="E20" i="7" s="1"/>
  <c r="E29" i="7"/>
  <c r="E28" i="7" s="1"/>
  <c r="E27" i="7" s="1"/>
  <c r="I46" i="7"/>
  <c r="I45" i="7"/>
  <c r="I41" i="7"/>
  <c r="I18" i="7"/>
  <c r="G14" i="7"/>
  <c r="I14" i="7" s="1"/>
  <c r="I15" i="7"/>
  <c r="H15" i="7"/>
  <c r="I10" i="7"/>
  <c r="H10" i="7"/>
  <c r="I9" i="7"/>
  <c r="H9" i="7"/>
  <c r="E42" i="7"/>
  <c r="E8" i="7"/>
  <c r="E7" i="7" s="1"/>
  <c r="B10" i="5"/>
  <c r="F26" i="8"/>
  <c r="D23" i="8"/>
  <c r="E23" i="8"/>
  <c r="F29" i="8"/>
  <c r="F15" i="8"/>
  <c r="F10" i="8"/>
  <c r="B23" i="8"/>
  <c r="H22" i="3"/>
  <c r="F21" i="3"/>
  <c r="G21" i="3"/>
  <c r="H11" i="3"/>
  <c r="H10" i="3" s="1"/>
  <c r="I42" i="7" l="1"/>
  <c r="I37" i="7"/>
  <c r="F24" i="7"/>
  <c r="H14" i="7"/>
  <c r="E6" i="7"/>
  <c r="I36" i="7" l="1"/>
  <c r="F8" i="7"/>
  <c r="F7" i="7" s="1"/>
  <c r="F6" i="7" s="1"/>
  <c r="I35" i="7" l="1"/>
  <c r="I34" i="7" l="1"/>
  <c r="I33" i="7" l="1"/>
  <c r="I32" i="7" l="1"/>
  <c r="J34" i="10"/>
  <c r="J37" i="10" s="1"/>
  <c r="J21" i="10"/>
  <c r="J11" i="10"/>
  <c r="H11" i="10"/>
  <c r="F11" i="10"/>
  <c r="J8" i="10"/>
  <c r="H8" i="10"/>
  <c r="F8" i="10"/>
  <c r="I31" i="7" l="1"/>
  <c r="F14" i="10"/>
  <c r="F22" i="10" s="1"/>
  <c r="F28" i="10" s="1"/>
  <c r="F29" i="10" s="1"/>
  <c r="H14" i="10"/>
  <c r="H22" i="10" s="1"/>
  <c r="H28" i="10" s="1"/>
  <c r="H29" i="10" s="1"/>
  <c r="J14" i="10"/>
  <c r="J22" i="10" s="1"/>
  <c r="J28" i="10" s="1"/>
  <c r="J29" i="10" s="1"/>
  <c r="I30" i="7" l="1"/>
  <c r="G28" i="7" l="1"/>
  <c r="G27" i="7" s="1"/>
  <c r="G26" i="7" s="1"/>
  <c r="I29" i="7"/>
  <c r="I28" i="7" s="1"/>
  <c r="I27" i="7" s="1"/>
  <c r="G25" i="7" l="1"/>
  <c r="I26" i="7"/>
  <c r="H26" i="7"/>
  <c r="G24" i="7" l="1"/>
  <c r="H25" i="7"/>
  <c r="I25" i="7"/>
  <c r="G23" i="7" l="1"/>
  <c r="I24" i="7"/>
  <c r="H24" i="7"/>
  <c r="G22" i="7" l="1"/>
  <c r="I23" i="7"/>
  <c r="G21" i="7" l="1"/>
  <c r="I22" i="7"/>
  <c r="G20" i="7" l="1"/>
  <c r="I21" i="7"/>
  <c r="H7" i="7" l="1"/>
  <c r="I20" i="7"/>
  <c r="I8" i="7" s="1"/>
  <c r="I7" i="7" s="1"/>
  <c r="I6" i="7" s="1"/>
  <c r="G8" i="7"/>
  <c r="G7" i="7" s="1"/>
  <c r="G6" i="7" s="1"/>
</calcChain>
</file>

<file path=xl/sharedStrings.xml><?xml version="1.0" encoding="utf-8"?>
<sst xmlns="http://schemas.openxmlformats.org/spreadsheetml/2006/main" count="243" uniqueCount="117">
  <si>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</si>
  <si>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</si>
  <si>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</si>
  <si>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</si>
  <si>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</si>
  <si>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</si>
  <si>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</si>
  <si>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</si>
  <si>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</si>
  <si>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</si>
  <si>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</si>
  <si>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</si>
  <si>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</si>
  <si>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</si>
  <si>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</si>
  <si>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</si>
  <si>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</si>
  <si>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</si>
  <si>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</si>
  <si>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</si>
  <si>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</si>
  <si>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</si>
  <si>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</si>
  <si>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</si>
  <si>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</si>
  <si>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</si>
  <si>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</si>
  <si>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</si>
  <si>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</si>
  <si>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</si>
  <si>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</si>
  <si>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</si>
  <si>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</si>
  <si>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</si>
  <si>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</si>
  <si>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</si>
  <si>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</si>
  <si>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</si>
  <si>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</si>
  <si>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</si>
  <si>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</si>
  <si>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</si>
  <si>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</si>
  <si>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</si>
  <si>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</si>
  <si>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</si>
  <si>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</si>
  <si>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</si>
  <si>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</si>
  <si>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</si>
  <si>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</si>
  <si>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</si>
  <si>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</si>
  <si>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</si>
  <si>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</si>
  <si>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</si>
  <si>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</si>
  <si>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</si>
  <si>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</si>
  <si>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</si>
  <si>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</si>
  <si>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</si>
  <si>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</si>
  <si>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</si>
  <si>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</si>
  <si>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</si>
  <si>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Novi plan 2023.</t>
  </si>
  <si>
    <t>Promjena %</t>
  </si>
  <si>
    <t>Promjena</t>
  </si>
  <si>
    <t>Prihodi od imovine</t>
  </si>
  <si>
    <t>Prihodi od prodaje proizvoda i robe te pruženih usluga, prihodi od donacija te povrati po protestiranim jamstvima</t>
  </si>
  <si>
    <t xml:space="preserve">II. IZMJENE I DOPUNE FINANCIJSKOG PLANA RAZVOJNE AGENCIJE VTA ZA 2023. GODINU
</t>
  </si>
  <si>
    <t>Financijski rashodi</t>
  </si>
  <si>
    <t>1. OPĆI PRIHODI I PRIMICI</t>
  </si>
  <si>
    <t>1.1. PRIHODI IZ PRORAČUNA</t>
  </si>
  <si>
    <t>2. VLASTITI PRIHODI</t>
  </si>
  <si>
    <t>2.2. VLASTITI PRIHODI PRORAČUNSKOG KORISNIKA</t>
  </si>
  <si>
    <t>4. POMOĆI</t>
  </si>
  <si>
    <t>4.5. POMOĆI ZA PRORAČUNSKE KORISNIKE</t>
  </si>
  <si>
    <t>4.7. POMOĆI IZ MEĐ. ORGANIZACIJA, INST. I TIJELA EU ZA PK</t>
  </si>
  <si>
    <t>2.3. VLASTITI PRIHODI P.K.- VIŠAK</t>
  </si>
  <si>
    <t>4.6. POMOĆI ZA P.K.- VIŠAK</t>
  </si>
  <si>
    <t>9. PRENESENI VIŠAK/MANJAK</t>
  </si>
  <si>
    <t>9.3. VLASTITI PRIHODI PK VIŠAK</t>
  </si>
  <si>
    <t>06 Usluge unapređenja stanovanja i zajednice</t>
  </si>
  <si>
    <t>062 Razvoj zajednice</t>
  </si>
  <si>
    <t>PROGRAM A06 1000</t>
  </si>
  <si>
    <t>OPĆI RAZVOJ GOSPODARSTVA</t>
  </si>
  <si>
    <t>Aktivnost A06 1000A100004</t>
  </si>
  <si>
    <t>TEKUĆI RASHODI RAZVOJNE AGENCIJE VTA</t>
  </si>
  <si>
    <t>Izvor financiranja 1.1.</t>
  </si>
  <si>
    <t>Prihodi iz proračuna</t>
  </si>
  <si>
    <t>Izvor financiranja 2.2.</t>
  </si>
  <si>
    <t>Vlastiti prihodi proračunskog korisnika</t>
  </si>
  <si>
    <t>Izvor financiranja 2.3.</t>
  </si>
  <si>
    <t>Vlastiti prihodi P.K. - VIŠAK</t>
  </si>
  <si>
    <t>Izvor financiranja 9.3.</t>
  </si>
  <si>
    <t>PROGRAM A07 1007</t>
  </si>
  <si>
    <t xml:space="preserve">INTERREG V-A PROGRAM SURADNJE MAĐARSKA-HRVATSKA 2014.-2020. </t>
  </si>
  <si>
    <t>Tekući projekt A07 1007T100001</t>
  </si>
  <si>
    <t>PREKOGRANIČNA SURADNJA I INTEGRACIJA UČENIKA S TEŠKOĆAMA-2M2C</t>
  </si>
  <si>
    <t>Izvor financiranja 4.6.</t>
  </si>
  <si>
    <t>Pomoći za P.K. - VIŠAK</t>
  </si>
  <si>
    <t>Izvor financiranja 4.7.</t>
  </si>
  <si>
    <t>Pomoći iz međ. Organizacija, inst. i tijela EU za PK</t>
  </si>
  <si>
    <t>PROGRAM A08 1009</t>
  </si>
  <si>
    <t>POMAGAČI U NASTAVI</t>
  </si>
  <si>
    <t>Tekući projekt A08 1009T100004</t>
  </si>
  <si>
    <t>KORAK U ŽIVOT JEDN. MOGUĆNOSTI-FAZA IV</t>
  </si>
  <si>
    <t>Izvor financiranja 4.5.</t>
  </si>
  <si>
    <t>Pomoći za proračunske korisnike</t>
  </si>
  <si>
    <t>KORAK U ŽIVOT JEDN. MOGUĆNOSTI-FAZA V</t>
  </si>
  <si>
    <t>KLASA: 400-02/23-01/01</t>
  </si>
  <si>
    <t>Ravnateljica</t>
  </si>
  <si>
    <t>Tihana Harmund, dipl. oec.</t>
  </si>
  <si>
    <t>URBROJ: 2189-85-23-2</t>
  </si>
  <si>
    <t>Virovitica, 15. prosinca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</si>
</sst>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4" fontId="11" fillId="0" borderId="0" xfId="0" applyNumberFormat="1" applyFont="1" applyAlignment="1">
      <alignment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18" fillId="0" borderId="0" xfId="0" applyNumberFormat="1" applyFont="1" applyAlignment="1">
      <alignment wrapText="1"/>
    </xf>
    <xf numFmtId="164" fontId="7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15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11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4" fontId="7" fillId="0" borderId="0" xfId="0" applyNumberFormat="1" applyFont="1"/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164" fontId="3" fillId="0" borderId="0" xfId="0" applyNumberFormat="1" applyFont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9" fillId="4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topLeftCell="A18" workbookViewId="0">
      <selection activeCell="F30" sqref="F30"/>
    </sheetView>
  </sheetViews>
  <sheetFormatPr defaultRowHeight="15" x14ac:dyDescent="0.25"/>
  <cols>
    <col min="5" max="8" width="25.28515625" customWidth="1"/>
    <col min="9" max="9" width="25.28515625" style="60" customWidth="1"/>
    <col min="10" max="10" width="25.28515625" style="80" customWidth="1"/>
    <col min="12" max="12" width="9.140625" style="60"/>
  </cols>
  <sheetData>
    <row r="1" spans="1:10" ht="42" customHeight="1" x14ac:dyDescent="0.25">
      <c r="A1" s="113" t="s">
        <v>71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61"/>
      <c r="J2" s="72"/>
    </row>
    <row r="3" spans="1:10" ht="15.75" x14ac:dyDescent="0.25">
      <c r="A3" s="113" t="s">
        <v>19</v>
      </c>
      <c r="B3" s="113"/>
      <c r="C3" s="113"/>
      <c r="D3" s="113"/>
      <c r="E3" s="113"/>
      <c r="F3" s="113"/>
      <c r="G3" s="113"/>
      <c r="H3" s="113"/>
      <c r="I3" s="113"/>
      <c r="J3" s="12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61"/>
      <c r="J4" s="73"/>
    </row>
    <row r="5" spans="1:10" ht="15.75" x14ac:dyDescent="0.25">
      <c r="A5" s="113" t="s">
        <v>25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62"/>
      <c r="J6" s="74" t="s">
        <v>33</v>
      </c>
    </row>
    <row r="7" spans="1:10" x14ac:dyDescent="0.25">
      <c r="A7" s="28"/>
      <c r="B7" s="29"/>
      <c r="C7" s="29"/>
      <c r="D7" s="30"/>
      <c r="E7" s="31"/>
      <c r="F7" s="3" t="s">
        <v>34</v>
      </c>
      <c r="G7" s="3" t="s">
        <v>32</v>
      </c>
      <c r="H7" s="3" t="s">
        <v>68</v>
      </c>
      <c r="I7" s="63" t="s">
        <v>67</v>
      </c>
      <c r="J7" s="75" t="s">
        <v>66</v>
      </c>
    </row>
    <row r="8" spans="1:10" x14ac:dyDescent="0.25">
      <c r="A8" s="118" t="s">
        <v>0</v>
      </c>
      <c r="B8" s="112"/>
      <c r="C8" s="112"/>
      <c r="D8" s="112"/>
      <c r="E8" s="127"/>
      <c r="F8" s="56">
        <f>F9+F10</f>
        <v>453155.22</v>
      </c>
      <c r="G8" s="56">
        <f t="shared" ref="G8" si="0">G9+G10</f>
        <v>486582</v>
      </c>
      <c r="H8" s="56">
        <f t="shared" ref="H8:J8" si="1">H9+H10</f>
        <v>-14777</v>
      </c>
      <c r="I8" s="64">
        <v>-0.03</v>
      </c>
      <c r="J8" s="56">
        <f t="shared" si="1"/>
        <v>471805</v>
      </c>
    </row>
    <row r="9" spans="1:10" x14ac:dyDescent="0.25">
      <c r="A9" s="128" t="s">
        <v>36</v>
      </c>
      <c r="B9" s="129"/>
      <c r="C9" s="129"/>
      <c r="D9" s="129"/>
      <c r="E9" s="125"/>
      <c r="F9" s="55">
        <v>453155.22</v>
      </c>
      <c r="G9" s="55">
        <v>486582</v>
      </c>
      <c r="H9" s="55">
        <v>-14777</v>
      </c>
      <c r="I9" s="65">
        <v>-0.03</v>
      </c>
      <c r="J9" s="55">
        <f>G9+H9</f>
        <v>471805</v>
      </c>
    </row>
    <row r="10" spans="1:10" x14ac:dyDescent="0.25">
      <c r="A10" s="124" t="s">
        <v>37</v>
      </c>
      <c r="B10" s="125"/>
      <c r="C10" s="125"/>
      <c r="D10" s="125"/>
      <c r="E10" s="125"/>
      <c r="F10" s="55">
        <v>0</v>
      </c>
      <c r="G10" s="55">
        <v>0</v>
      </c>
      <c r="H10" s="55">
        <v>0</v>
      </c>
      <c r="I10" s="65">
        <v>0</v>
      </c>
      <c r="J10" s="55">
        <f>G10+H10</f>
        <v>0</v>
      </c>
    </row>
    <row r="11" spans="1:10" x14ac:dyDescent="0.25">
      <c r="A11" s="32" t="s">
        <v>1</v>
      </c>
      <c r="B11" s="41"/>
      <c r="C11" s="41"/>
      <c r="D11" s="41"/>
      <c r="E11" s="41"/>
      <c r="F11" s="56">
        <f>F12+F13</f>
        <v>457535.47000000003</v>
      </c>
      <c r="G11" s="56">
        <f t="shared" ref="G11" si="2">G12+G13</f>
        <v>486979</v>
      </c>
      <c r="H11" s="56">
        <f t="shared" ref="H11:J11" si="3">H12+H13</f>
        <v>-14777</v>
      </c>
      <c r="I11" s="64">
        <v>-0.03</v>
      </c>
      <c r="J11" s="56">
        <f t="shared" si="3"/>
        <v>472202</v>
      </c>
    </row>
    <row r="12" spans="1:10" x14ac:dyDescent="0.25">
      <c r="A12" s="130" t="s">
        <v>38</v>
      </c>
      <c r="B12" s="129"/>
      <c r="C12" s="129"/>
      <c r="D12" s="129"/>
      <c r="E12" s="129"/>
      <c r="F12" s="55">
        <v>456112.02</v>
      </c>
      <c r="G12" s="55">
        <v>484792</v>
      </c>
      <c r="H12" s="55">
        <v>-16028</v>
      </c>
      <c r="I12" s="65">
        <v>-3.3000000000000002E-2</v>
      </c>
      <c r="J12" s="55">
        <f>G12+H12</f>
        <v>468764</v>
      </c>
    </row>
    <row r="13" spans="1:10" x14ac:dyDescent="0.25">
      <c r="A13" s="124" t="s">
        <v>39</v>
      </c>
      <c r="B13" s="125"/>
      <c r="C13" s="125"/>
      <c r="D13" s="125"/>
      <c r="E13" s="125"/>
      <c r="F13" s="55">
        <v>1423.45</v>
      </c>
      <c r="G13" s="55">
        <v>2187</v>
      </c>
      <c r="H13" s="55">
        <v>1251</v>
      </c>
      <c r="I13" s="65">
        <v>0.57199999999999995</v>
      </c>
      <c r="J13" s="55">
        <f>G13+H13</f>
        <v>3438</v>
      </c>
    </row>
    <row r="14" spans="1:10" x14ac:dyDescent="0.25">
      <c r="A14" s="111" t="s">
        <v>58</v>
      </c>
      <c r="B14" s="112"/>
      <c r="C14" s="112"/>
      <c r="D14" s="112"/>
      <c r="E14" s="112"/>
      <c r="F14" s="56">
        <f>F8-F11</f>
        <v>-4380.2500000000582</v>
      </c>
      <c r="G14" s="56">
        <f t="shared" ref="G14" si="4">G8-G11</f>
        <v>-397</v>
      </c>
      <c r="H14" s="56">
        <f t="shared" ref="H14:J14" si="5">H8-H11</f>
        <v>0</v>
      </c>
      <c r="I14" s="64">
        <f t="shared" si="5"/>
        <v>0</v>
      </c>
      <c r="J14" s="56">
        <f t="shared" si="5"/>
        <v>-397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66"/>
      <c r="J15" s="76"/>
    </row>
    <row r="16" spans="1:10" ht="15.75" x14ac:dyDescent="0.25">
      <c r="A16" s="113" t="s">
        <v>26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66"/>
      <c r="J17" s="76"/>
    </row>
    <row r="18" spans="1:10" x14ac:dyDescent="0.25">
      <c r="A18" s="28"/>
      <c r="B18" s="29"/>
      <c r="C18" s="29"/>
      <c r="D18" s="30"/>
      <c r="E18" s="31"/>
      <c r="F18" s="3" t="s">
        <v>34</v>
      </c>
      <c r="G18" s="3" t="s">
        <v>32</v>
      </c>
      <c r="H18" s="3" t="s">
        <v>68</v>
      </c>
      <c r="I18" s="63" t="s">
        <v>67</v>
      </c>
      <c r="J18" s="75" t="s">
        <v>66</v>
      </c>
    </row>
    <row r="19" spans="1:10" x14ac:dyDescent="0.25">
      <c r="A19" s="124" t="s">
        <v>40</v>
      </c>
      <c r="B19" s="125"/>
      <c r="C19" s="125"/>
      <c r="D19" s="125"/>
      <c r="E19" s="125"/>
      <c r="F19" s="55">
        <v>0</v>
      </c>
      <c r="G19" s="55">
        <v>0</v>
      </c>
      <c r="H19" s="55">
        <v>0</v>
      </c>
      <c r="I19" s="65">
        <v>0</v>
      </c>
      <c r="J19" s="55">
        <v>0</v>
      </c>
    </row>
    <row r="20" spans="1:10" x14ac:dyDescent="0.25">
      <c r="A20" s="124" t="s">
        <v>41</v>
      </c>
      <c r="B20" s="125"/>
      <c r="C20" s="125"/>
      <c r="D20" s="125"/>
      <c r="E20" s="125"/>
      <c r="F20" s="55">
        <v>0</v>
      </c>
      <c r="G20" s="55">
        <v>0</v>
      </c>
      <c r="H20" s="55">
        <v>0</v>
      </c>
      <c r="I20" s="65">
        <v>0</v>
      </c>
      <c r="J20" s="55">
        <v>0</v>
      </c>
    </row>
    <row r="21" spans="1:10" x14ac:dyDescent="0.25">
      <c r="A21" s="111" t="s">
        <v>2</v>
      </c>
      <c r="B21" s="112"/>
      <c r="C21" s="112"/>
      <c r="D21" s="112"/>
      <c r="E21" s="112"/>
      <c r="F21" s="56">
        <f>F19-F20</f>
        <v>0</v>
      </c>
      <c r="G21" s="56">
        <f t="shared" ref="G21:H21" si="6">G19-G20</f>
        <v>0</v>
      </c>
      <c r="H21" s="56">
        <f t="shared" si="6"/>
        <v>0</v>
      </c>
      <c r="I21" s="64">
        <v>0</v>
      </c>
      <c r="J21" s="56">
        <f t="shared" ref="J21" si="7">J19-J20</f>
        <v>0</v>
      </c>
    </row>
    <row r="22" spans="1:10" x14ac:dyDescent="0.25">
      <c r="A22" s="111" t="s">
        <v>59</v>
      </c>
      <c r="B22" s="112"/>
      <c r="C22" s="112"/>
      <c r="D22" s="112"/>
      <c r="E22" s="112"/>
      <c r="F22" s="56">
        <f>F14+F21</f>
        <v>-4380.2500000000582</v>
      </c>
      <c r="G22" s="56">
        <f t="shared" ref="G22" si="8">G14+G21</f>
        <v>-397</v>
      </c>
      <c r="H22" s="56">
        <f t="shared" ref="H22:J22" si="9">H14+H21</f>
        <v>0</v>
      </c>
      <c r="I22" s="64">
        <v>0</v>
      </c>
      <c r="J22" s="56">
        <f t="shared" si="9"/>
        <v>-397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66"/>
      <c r="J23" s="76"/>
    </row>
    <row r="24" spans="1:10" ht="15.75" x14ac:dyDescent="0.25">
      <c r="A24" s="113" t="s">
        <v>60</v>
      </c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67"/>
      <c r="J25" s="77"/>
    </row>
    <row r="26" spans="1:10" x14ac:dyDescent="0.25">
      <c r="A26" s="28"/>
      <c r="B26" s="29"/>
      <c r="C26" s="29"/>
      <c r="D26" s="30"/>
      <c r="E26" s="31"/>
      <c r="F26" s="3" t="s">
        <v>34</v>
      </c>
      <c r="G26" s="3" t="s">
        <v>32</v>
      </c>
      <c r="H26" s="3" t="s">
        <v>68</v>
      </c>
      <c r="I26" s="63" t="s">
        <v>67</v>
      </c>
      <c r="J26" s="75" t="s">
        <v>66</v>
      </c>
    </row>
    <row r="27" spans="1:10" ht="15" customHeight="1" x14ac:dyDescent="0.25">
      <c r="A27" s="115" t="s">
        <v>61</v>
      </c>
      <c r="B27" s="116"/>
      <c r="C27" s="116"/>
      <c r="D27" s="116"/>
      <c r="E27" s="117"/>
      <c r="F27" s="57">
        <v>4777.05</v>
      </c>
      <c r="G27" s="57">
        <v>397</v>
      </c>
      <c r="H27" s="57">
        <v>0</v>
      </c>
      <c r="I27" s="68">
        <v>0</v>
      </c>
      <c r="J27" s="150">
        <v>397</v>
      </c>
    </row>
    <row r="28" spans="1:10" ht="15" customHeight="1" x14ac:dyDescent="0.25">
      <c r="A28" s="111" t="s">
        <v>62</v>
      </c>
      <c r="B28" s="112"/>
      <c r="C28" s="112"/>
      <c r="D28" s="112"/>
      <c r="E28" s="112"/>
      <c r="F28" s="56">
        <f>F22+F27</f>
        <v>396.79999999994197</v>
      </c>
      <c r="G28" s="59">
        <f t="shared" ref="G28" si="10">G22+G27</f>
        <v>0</v>
      </c>
      <c r="H28" s="59">
        <f t="shared" ref="H28:J28" si="11">H22+H27</f>
        <v>0</v>
      </c>
      <c r="I28" s="69">
        <v>0</v>
      </c>
      <c r="J28" s="151">
        <f t="shared" si="11"/>
        <v>0</v>
      </c>
    </row>
    <row r="29" spans="1:10" ht="45" customHeight="1" x14ac:dyDescent="0.25">
      <c r="A29" s="118" t="s">
        <v>63</v>
      </c>
      <c r="B29" s="119"/>
      <c r="C29" s="119"/>
      <c r="D29" s="119"/>
      <c r="E29" s="120"/>
      <c r="F29" s="56">
        <f>F14+F21+F27-F28</f>
        <v>0</v>
      </c>
      <c r="G29" s="59">
        <f t="shared" ref="G29" si="12">G14+G21+G27-G28</f>
        <v>0</v>
      </c>
      <c r="H29" s="59">
        <f t="shared" ref="H29:J29" si="13">H14+H21+H27-H28</f>
        <v>0</v>
      </c>
      <c r="I29" s="69">
        <v>0</v>
      </c>
      <c r="J29" s="151">
        <f t="shared" si="13"/>
        <v>0</v>
      </c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70"/>
      <c r="J30" s="78"/>
    </row>
    <row r="31" spans="1:10" ht="15.75" x14ac:dyDescent="0.25">
      <c r="A31" s="121" t="s">
        <v>57</v>
      </c>
      <c r="B31" s="121"/>
      <c r="C31" s="121"/>
      <c r="D31" s="121"/>
      <c r="E31" s="121"/>
      <c r="F31" s="121"/>
      <c r="G31" s="121"/>
      <c r="H31" s="121"/>
      <c r="I31" s="121"/>
      <c r="J31" s="121"/>
    </row>
    <row r="32" spans="1:10" ht="18" x14ac:dyDescent="0.25">
      <c r="A32" s="44"/>
      <c r="B32" s="45"/>
      <c r="C32" s="45"/>
      <c r="D32" s="45"/>
      <c r="E32" s="45"/>
      <c r="F32" s="45"/>
      <c r="G32" s="45"/>
      <c r="H32" s="46"/>
      <c r="I32" s="71"/>
      <c r="J32" s="79"/>
    </row>
    <row r="33" spans="1:10" x14ac:dyDescent="0.25">
      <c r="A33" s="47"/>
      <c r="B33" s="48"/>
      <c r="C33" s="48"/>
      <c r="D33" s="49"/>
      <c r="E33" s="50"/>
      <c r="F33" s="51" t="s">
        <v>34</v>
      </c>
      <c r="G33" s="51" t="s">
        <v>32</v>
      </c>
      <c r="H33" s="3" t="s">
        <v>68</v>
      </c>
      <c r="I33" s="63" t="s">
        <v>67</v>
      </c>
      <c r="J33" s="75" t="s">
        <v>66</v>
      </c>
    </row>
    <row r="34" spans="1:10" x14ac:dyDescent="0.25">
      <c r="A34" s="115" t="s">
        <v>61</v>
      </c>
      <c r="B34" s="116"/>
      <c r="C34" s="116"/>
      <c r="D34" s="116"/>
      <c r="E34" s="117"/>
      <c r="F34" s="57">
        <v>0</v>
      </c>
      <c r="G34" s="57">
        <f>F37</f>
        <v>0</v>
      </c>
      <c r="H34" s="57">
        <f>G37</f>
        <v>0</v>
      </c>
      <c r="I34" s="68">
        <v>0</v>
      </c>
      <c r="J34" s="150">
        <f>H37</f>
        <v>0</v>
      </c>
    </row>
    <row r="35" spans="1:10" ht="28.5" customHeight="1" x14ac:dyDescent="0.25">
      <c r="A35" s="115" t="s">
        <v>64</v>
      </c>
      <c r="B35" s="116"/>
      <c r="C35" s="116"/>
      <c r="D35" s="116"/>
      <c r="E35" s="117"/>
      <c r="F35" s="57">
        <v>0</v>
      </c>
      <c r="G35" s="57">
        <v>0</v>
      </c>
      <c r="H35" s="57">
        <v>0</v>
      </c>
      <c r="I35" s="68">
        <v>0</v>
      </c>
      <c r="J35" s="150">
        <v>0</v>
      </c>
    </row>
    <row r="36" spans="1:10" x14ac:dyDescent="0.25">
      <c r="A36" s="115" t="s">
        <v>65</v>
      </c>
      <c r="B36" s="122"/>
      <c r="C36" s="122"/>
      <c r="D36" s="122"/>
      <c r="E36" s="123"/>
      <c r="F36" s="57">
        <v>0</v>
      </c>
      <c r="G36" s="57">
        <v>0</v>
      </c>
      <c r="H36" s="57">
        <v>0</v>
      </c>
      <c r="I36" s="68">
        <v>0</v>
      </c>
      <c r="J36" s="150">
        <v>0</v>
      </c>
    </row>
    <row r="37" spans="1:10" ht="15" customHeight="1" x14ac:dyDescent="0.25">
      <c r="A37" s="111" t="s">
        <v>62</v>
      </c>
      <c r="B37" s="112"/>
      <c r="C37" s="112"/>
      <c r="D37" s="112"/>
      <c r="E37" s="112"/>
      <c r="F37" s="58">
        <f>F34-F35+F36</f>
        <v>0</v>
      </c>
      <c r="G37" s="58">
        <f t="shared" ref="G37:H37" si="14">G34-G35+G36</f>
        <v>0</v>
      </c>
      <c r="H37" s="58">
        <f t="shared" si="14"/>
        <v>0</v>
      </c>
      <c r="I37" s="69">
        <v>0</v>
      </c>
      <c r="J37" s="152">
        <f t="shared" ref="J37" si="15">J34-J35+J36</f>
        <v>0</v>
      </c>
    </row>
    <row r="38" spans="1:10" ht="17.25" customHeight="1" x14ac:dyDescent="0.25"/>
    <row r="39" spans="1:10" x14ac:dyDescent="0.25">
      <c r="A39" s="109" t="s">
        <v>35</v>
      </c>
      <c r="B39" s="110"/>
      <c r="C39" s="110"/>
      <c r="D39" s="110"/>
      <c r="E39" s="110"/>
      <c r="F39" s="110"/>
      <c r="G39" s="110"/>
      <c r="H39" s="110"/>
      <c r="I39" s="110"/>
      <c r="J39" s="11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workbookViewId="0">
      <selection activeCell="C15" sqref="C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25.28515625" style="60" customWidth="1"/>
    <col min="8" max="8" width="25.28515625" customWidth="1"/>
  </cols>
  <sheetData>
    <row r="1" spans="1:10" ht="42" customHeight="1" x14ac:dyDescent="0.25">
      <c r="A1" s="113" t="s">
        <v>71</v>
      </c>
      <c r="B1" s="113"/>
      <c r="C1" s="113"/>
      <c r="D1" s="113"/>
      <c r="E1" s="113"/>
      <c r="F1" s="113"/>
      <c r="G1" s="113"/>
      <c r="H1" s="113"/>
    </row>
    <row r="2" spans="1:10" ht="18" customHeight="1" x14ac:dyDescent="0.25">
      <c r="A2" s="4"/>
      <c r="B2" s="4"/>
      <c r="C2" s="4"/>
      <c r="D2" s="4"/>
      <c r="E2" s="4"/>
      <c r="F2" s="4"/>
      <c r="G2" s="61"/>
      <c r="H2" s="4"/>
    </row>
    <row r="3" spans="1:10" ht="15.75" customHeight="1" x14ac:dyDescent="0.25">
      <c r="A3" s="113" t="s">
        <v>19</v>
      </c>
      <c r="B3" s="113"/>
      <c r="C3" s="113"/>
      <c r="D3" s="113"/>
      <c r="E3" s="113"/>
      <c r="F3" s="113"/>
      <c r="G3" s="113"/>
      <c r="H3" s="113"/>
    </row>
    <row r="4" spans="1:10" ht="18" x14ac:dyDescent="0.25">
      <c r="A4" s="4"/>
      <c r="B4" s="4"/>
      <c r="C4" s="4"/>
      <c r="D4" s="4"/>
      <c r="E4" s="4"/>
      <c r="F4" s="4"/>
      <c r="G4" s="87"/>
      <c r="H4" s="5"/>
    </row>
    <row r="5" spans="1:10" ht="18" customHeight="1" x14ac:dyDescent="0.25">
      <c r="A5" s="113" t="s">
        <v>4</v>
      </c>
      <c r="B5" s="113"/>
      <c r="C5" s="113"/>
      <c r="D5" s="113"/>
      <c r="E5" s="113"/>
      <c r="F5" s="113"/>
      <c r="G5" s="113"/>
      <c r="H5" s="113"/>
    </row>
    <row r="6" spans="1:10" ht="18" x14ac:dyDescent="0.25">
      <c r="A6" s="4"/>
      <c r="B6" s="4"/>
      <c r="C6" s="4"/>
      <c r="D6" s="4"/>
      <c r="E6" s="4"/>
      <c r="F6" s="4"/>
      <c r="G6" s="87"/>
      <c r="H6" s="5"/>
    </row>
    <row r="7" spans="1:10" ht="15.75" customHeight="1" x14ac:dyDescent="0.25">
      <c r="A7" s="113" t="s">
        <v>42</v>
      </c>
      <c r="B7" s="113"/>
      <c r="C7" s="113"/>
      <c r="D7" s="113"/>
      <c r="E7" s="113"/>
      <c r="F7" s="113"/>
      <c r="G7" s="113"/>
      <c r="H7" s="113"/>
    </row>
    <row r="8" spans="1:10" ht="18" x14ac:dyDescent="0.25">
      <c r="A8" s="4"/>
      <c r="B8" s="4"/>
      <c r="C8" s="4"/>
      <c r="D8" s="4"/>
      <c r="E8" s="4"/>
      <c r="F8" s="4"/>
      <c r="G8" s="87"/>
      <c r="H8" s="5"/>
    </row>
    <row r="9" spans="1:10" x14ac:dyDescent="0.25">
      <c r="A9" s="19" t="s">
        <v>5</v>
      </c>
      <c r="B9" s="18" t="s">
        <v>6</v>
      </c>
      <c r="C9" s="18" t="s">
        <v>3</v>
      </c>
      <c r="D9" s="18" t="s">
        <v>31</v>
      </c>
      <c r="E9" s="19" t="s">
        <v>32</v>
      </c>
      <c r="F9" s="19" t="s">
        <v>68</v>
      </c>
      <c r="G9" s="88" t="s">
        <v>67</v>
      </c>
      <c r="H9" s="19" t="s">
        <v>66</v>
      </c>
    </row>
    <row r="10" spans="1:10" x14ac:dyDescent="0.25">
      <c r="A10" s="35"/>
      <c r="B10" s="36"/>
      <c r="C10" s="34" t="s">
        <v>0</v>
      </c>
      <c r="D10" s="81">
        <f>D11</f>
        <v>453155.21932444093</v>
      </c>
      <c r="E10" s="81">
        <f t="shared" ref="E10:H10" si="0">E11</f>
        <v>486582</v>
      </c>
      <c r="F10" s="81">
        <f t="shared" si="0"/>
        <v>-14777</v>
      </c>
      <c r="G10" s="93">
        <f>F10/E10</f>
        <v>-3.0368982000978251E-2</v>
      </c>
      <c r="H10" s="81">
        <f t="shared" si="0"/>
        <v>471805</v>
      </c>
      <c r="J10" s="94"/>
    </row>
    <row r="11" spans="1:10" ht="15.75" customHeight="1" x14ac:dyDescent="0.25">
      <c r="A11" s="11">
        <v>6</v>
      </c>
      <c r="B11" s="11"/>
      <c r="C11" s="11" t="s">
        <v>7</v>
      </c>
      <c r="D11" s="82">
        <f>SUM(D12:D15)</f>
        <v>453155.21932444093</v>
      </c>
      <c r="E11" s="82">
        <f t="shared" ref="E11:H11" si="1">SUM(E12:E15)</f>
        <v>486582</v>
      </c>
      <c r="F11" s="82">
        <f t="shared" si="1"/>
        <v>-14777</v>
      </c>
      <c r="G11" s="92">
        <v>-0.03</v>
      </c>
      <c r="H11" s="82">
        <f t="shared" si="1"/>
        <v>471805</v>
      </c>
      <c r="J11" s="94"/>
    </row>
    <row r="12" spans="1:10" ht="38.25" x14ac:dyDescent="0.25">
      <c r="A12" s="11"/>
      <c r="B12" s="15">
        <v>63</v>
      </c>
      <c r="C12" s="15" t="s">
        <v>27</v>
      </c>
      <c r="D12" s="83">
        <f>42928.3/7.5345</f>
        <v>5697.564536465592</v>
      </c>
      <c r="E12" s="83">
        <v>4937</v>
      </c>
      <c r="F12" s="84">
        <v>-2080</v>
      </c>
      <c r="G12" s="91">
        <v>-0.42099999999999999</v>
      </c>
      <c r="H12" s="84">
        <f>E12+F12</f>
        <v>2857</v>
      </c>
      <c r="J12" s="94"/>
    </row>
    <row r="13" spans="1:10" x14ac:dyDescent="0.25">
      <c r="A13" s="12"/>
      <c r="B13" s="12">
        <v>64</v>
      </c>
      <c r="C13" s="12" t="s">
        <v>69</v>
      </c>
      <c r="D13" s="83">
        <f>2.46/7.5345</f>
        <v>0.32649810869998008</v>
      </c>
      <c r="E13" s="84">
        <v>13</v>
      </c>
      <c r="F13" s="84">
        <v>-13</v>
      </c>
      <c r="G13" s="91">
        <v>-1</v>
      </c>
      <c r="H13" s="84">
        <f t="shared" ref="H13:H15" si="2">E13+F13</f>
        <v>0</v>
      </c>
      <c r="J13" s="94"/>
    </row>
    <row r="14" spans="1:10" ht="51" x14ac:dyDescent="0.25">
      <c r="A14" s="12"/>
      <c r="B14" s="12">
        <v>66</v>
      </c>
      <c r="C14" s="85" t="s">
        <v>70</v>
      </c>
      <c r="D14" s="83">
        <f>133100/7.5345</f>
        <v>17665.405799986725</v>
      </c>
      <c r="E14" s="84">
        <v>6803</v>
      </c>
      <c r="F14" s="84">
        <v>2157</v>
      </c>
      <c r="G14" s="91">
        <v>0.317</v>
      </c>
      <c r="H14" s="84">
        <f t="shared" si="2"/>
        <v>8960</v>
      </c>
      <c r="J14" s="94"/>
    </row>
    <row r="15" spans="1:10" ht="38.25" x14ac:dyDescent="0.25">
      <c r="A15" s="12"/>
      <c r="B15" s="12">
        <v>67</v>
      </c>
      <c r="C15" s="15" t="s">
        <v>28</v>
      </c>
      <c r="D15" s="83">
        <f>3238267.24/7.5345</f>
        <v>429791.92248987989</v>
      </c>
      <c r="E15" s="84">
        <v>474829</v>
      </c>
      <c r="F15" s="84">
        <v>-14841</v>
      </c>
      <c r="G15" s="91">
        <v>-3.1E-2</v>
      </c>
      <c r="H15" s="84">
        <f t="shared" si="2"/>
        <v>459988</v>
      </c>
      <c r="J15" s="94"/>
    </row>
    <row r="18" spans="1:8" ht="15.75" x14ac:dyDescent="0.25">
      <c r="A18" s="113" t="s">
        <v>43</v>
      </c>
      <c r="B18" s="131"/>
      <c r="C18" s="131"/>
      <c r="D18" s="131"/>
      <c r="E18" s="131"/>
      <c r="F18" s="131"/>
      <c r="G18" s="131"/>
      <c r="H18" s="131"/>
    </row>
    <row r="19" spans="1:8" ht="18" x14ac:dyDescent="0.25">
      <c r="A19" s="4"/>
      <c r="B19" s="4"/>
      <c r="C19" s="4"/>
      <c r="D19" s="4"/>
      <c r="E19" s="4"/>
      <c r="F19" s="4"/>
      <c r="G19" s="87"/>
      <c r="H19" s="5"/>
    </row>
    <row r="20" spans="1:8" x14ac:dyDescent="0.25">
      <c r="A20" s="19" t="s">
        <v>5</v>
      </c>
      <c r="B20" s="18" t="s">
        <v>6</v>
      </c>
      <c r="C20" s="18" t="s">
        <v>8</v>
      </c>
      <c r="D20" s="18" t="s">
        <v>31</v>
      </c>
      <c r="E20" s="19" t="s">
        <v>32</v>
      </c>
      <c r="F20" s="19" t="s">
        <v>68</v>
      </c>
      <c r="G20" s="88" t="s">
        <v>67</v>
      </c>
      <c r="H20" s="19" t="s">
        <v>66</v>
      </c>
    </row>
    <row r="21" spans="1:8" x14ac:dyDescent="0.25">
      <c r="A21" s="35"/>
      <c r="B21" s="36"/>
      <c r="C21" s="34" t="s">
        <v>1</v>
      </c>
      <c r="D21" s="81">
        <f>D22+D26</f>
        <v>457535.47547946114</v>
      </c>
      <c r="E21" s="81">
        <f t="shared" ref="E21:G21" si="3">E22+E26</f>
        <v>486979</v>
      </c>
      <c r="F21" s="81">
        <f t="shared" si="3"/>
        <v>-14777</v>
      </c>
      <c r="G21" s="93">
        <f t="shared" si="3"/>
        <v>0.39699999999999996</v>
      </c>
      <c r="H21" s="81">
        <f>H22+H26</f>
        <v>472202</v>
      </c>
    </row>
    <row r="22" spans="1:8" ht="15.75" customHeight="1" x14ac:dyDescent="0.25">
      <c r="A22" s="11">
        <v>3</v>
      </c>
      <c r="B22" s="11"/>
      <c r="C22" s="11" t="s">
        <v>9</v>
      </c>
      <c r="D22" s="82">
        <f>SUM(D23:D25)</f>
        <v>456112.02335921425</v>
      </c>
      <c r="E22" s="82">
        <f t="shared" ref="E22:H22" si="4">SUM(E23:E25)</f>
        <v>484792</v>
      </c>
      <c r="F22" s="82">
        <f t="shared" si="4"/>
        <v>-16028</v>
      </c>
      <c r="G22" s="92">
        <f t="shared" si="4"/>
        <v>-0.17499999999999999</v>
      </c>
      <c r="H22" s="82">
        <f t="shared" si="4"/>
        <v>468764</v>
      </c>
    </row>
    <row r="23" spans="1:8" ht="15.75" customHeight="1" x14ac:dyDescent="0.25">
      <c r="A23" s="11"/>
      <c r="B23" s="15">
        <v>31</v>
      </c>
      <c r="C23" s="15" t="s">
        <v>10</v>
      </c>
      <c r="D23" s="83">
        <f>2847716.17/7.5345</f>
        <v>377956.88765014266</v>
      </c>
      <c r="E23" s="84">
        <v>402473</v>
      </c>
      <c r="F23" s="84">
        <v>-12341</v>
      </c>
      <c r="G23" s="91">
        <v>-3.1E-2</v>
      </c>
      <c r="H23" s="84">
        <f>E23+F23</f>
        <v>390132</v>
      </c>
    </row>
    <row r="24" spans="1:8" x14ac:dyDescent="0.25">
      <c r="A24" s="12"/>
      <c r="B24" s="12">
        <v>32</v>
      </c>
      <c r="C24" s="12" t="s">
        <v>22</v>
      </c>
      <c r="D24" s="83">
        <f>581398.35/7.5345</f>
        <v>77164.821819629695</v>
      </c>
      <c r="E24" s="84">
        <v>81319</v>
      </c>
      <c r="F24" s="84">
        <v>-3587</v>
      </c>
      <c r="G24" s="91">
        <v>-4.3999999999999997E-2</v>
      </c>
      <c r="H24" s="84">
        <f t="shared" ref="H24:H25" si="5">E24+F24</f>
        <v>77732</v>
      </c>
    </row>
    <row r="25" spans="1:8" x14ac:dyDescent="0.25">
      <c r="A25" s="12"/>
      <c r="B25" s="12">
        <v>34</v>
      </c>
      <c r="C25" s="12" t="s">
        <v>72</v>
      </c>
      <c r="D25" s="83">
        <f>7461.52/7.5345</f>
        <v>990.31388944190064</v>
      </c>
      <c r="E25" s="84">
        <v>1000</v>
      </c>
      <c r="F25" s="84">
        <v>-100</v>
      </c>
      <c r="G25" s="91">
        <v>-0.1</v>
      </c>
      <c r="H25" s="84">
        <f t="shared" si="5"/>
        <v>900</v>
      </c>
    </row>
    <row r="26" spans="1:8" ht="25.5" x14ac:dyDescent="0.25">
      <c r="A26" s="14">
        <v>4</v>
      </c>
      <c r="B26" s="14"/>
      <c r="C26" s="23" t="s">
        <v>11</v>
      </c>
      <c r="D26" s="82">
        <f>D27</f>
        <v>1423.4521202468643</v>
      </c>
      <c r="E26" s="82">
        <f t="shared" ref="E26:G26" si="6">E27</f>
        <v>2187</v>
      </c>
      <c r="F26" s="82">
        <f t="shared" si="6"/>
        <v>1251</v>
      </c>
      <c r="G26" s="92">
        <f t="shared" si="6"/>
        <v>0.57199999999999995</v>
      </c>
      <c r="H26" s="95">
        <f>H27</f>
        <v>3438</v>
      </c>
    </row>
    <row r="27" spans="1:8" ht="38.25" x14ac:dyDescent="0.25">
      <c r="A27" s="15"/>
      <c r="B27" s="12">
        <v>42</v>
      </c>
      <c r="C27" s="15" t="s">
        <v>29</v>
      </c>
      <c r="D27" s="83">
        <f>10725/7.5345</f>
        <v>1423.4521202468643</v>
      </c>
      <c r="E27" s="84">
        <v>2187</v>
      </c>
      <c r="F27" s="84">
        <v>1251</v>
      </c>
      <c r="G27" s="91">
        <v>0.57199999999999995</v>
      </c>
      <c r="H27" s="84">
        <f>E27+F27</f>
        <v>3438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topLeftCell="A7" workbookViewId="0">
      <selection activeCell="D12" sqref="D12"/>
    </sheetView>
  </sheetViews>
  <sheetFormatPr defaultRowHeight="15" x14ac:dyDescent="0.25"/>
  <cols>
    <col min="1" max="1" width="51.140625" customWidth="1"/>
    <col min="2" max="4" width="25.28515625" customWidth="1"/>
    <col min="5" max="5" width="25.28515625" style="60" customWidth="1"/>
    <col min="6" max="6" width="25.28515625" customWidth="1"/>
  </cols>
  <sheetData>
    <row r="1" spans="1:8" ht="42" customHeight="1" x14ac:dyDescent="0.25">
      <c r="A1" s="113" t="s">
        <v>71</v>
      </c>
      <c r="B1" s="113"/>
      <c r="C1" s="113"/>
      <c r="D1" s="113"/>
      <c r="E1" s="113"/>
      <c r="F1" s="113"/>
    </row>
    <row r="2" spans="1:8" ht="18" customHeight="1" x14ac:dyDescent="0.25">
      <c r="A2" s="4"/>
      <c r="B2" s="4"/>
      <c r="C2" s="4"/>
      <c r="D2" s="4"/>
      <c r="E2" s="61"/>
      <c r="F2" s="4"/>
    </row>
    <row r="3" spans="1:8" ht="15.75" customHeight="1" x14ac:dyDescent="0.25">
      <c r="A3" s="113" t="s">
        <v>19</v>
      </c>
      <c r="B3" s="113"/>
      <c r="C3" s="113"/>
      <c r="D3" s="113"/>
      <c r="E3" s="113"/>
      <c r="F3" s="113"/>
    </row>
    <row r="4" spans="1:8" ht="18" x14ac:dyDescent="0.25">
      <c r="B4" s="4"/>
      <c r="C4" s="4"/>
      <c r="D4" s="4"/>
      <c r="E4" s="87"/>
      <c r="F4" s="5"/>
    </row>
    <row r="5" spans="1:8" ht="18" customHeight="1" x14ac:dyDescent="0.25">
      <c r="A5" s="113" t="s">
        <v>4</v>
      </c>
      <c r="B5" s="113"/>
      <c r="C5" s="113"/>
      <c r="D5" s="113"/>
      <c r="E5" s="113"/>
      <c r="F5" s="113"/>
    </row>
    <row r="6" spans="1:8" ht="18" x14ac:dyDescent="0.25">
      <c r="A6" s="4"/>
      <c r="B6" s="4"/>
      <c r="C6" s="4"/>
      <c r="D6" s="4"/>
      <c r="E6" s="87"/>
      <c r="F6" s="5"/>
    </row>
    <row r="7" spans="1:8" ht="15.75" customHeight="1" x14ac:dyDescent="0.25">
      <c r="A7" s="113" t="s">
        <v>44</v>
      </c>
      <c r="B7" s="113"/>
      <c r="C7" s="113"/>
      <c r="D7" s="113"/>
      <c r="E7" s="113"/>
      <c r="F7" s="113"/>
    </row>
    <row r="8" spans="1:8" ht="18" x14ac:dyDescent="0.25">
      <c r="A8" s="4"/>
      <c r="B8" s="4"/>
      <c r="C8" s="4"/>
      <c r="D8" s="4"/>
      <c r="E8" s="87"/>
      <c r="F8" s="5"/>
    </row>
    <row r="9" spans="1:8" x14ac:dyDescent="0.25">
      <c r="A9" s="19" t="s">
        <v>46</v>
      </c>
      <c r="B9" s="18" t="s">
        <v>31</v>
      </c>
      <c r="C9" s="19" t="s">
        <v>32</v>
      </c>
      <c r="D9" s="19" t="s">
        <v>68</v>
      </c>
      <c r="E9" s="88" t="s">
        <v>67</v>
      </c>
      <c r="F9" s="19" t="s">
        <v>66</v>
      </c>
    </row>
    <row r="10" spans="1:8" x14ac:dyDescent="0.25">
      <c r="A10" s="37" t="s">
        <v>0</v>
      </c>
      <c r="B10" s="81">
        <f>B11+B13+B15</f>
        <v>453155.21932444087</v>
      </c>
      <c r="C10" s="81">
        <f t="shared" ref="C10:F10" si="0">C11+C13+C15</f>
        <v>486582</v>
      </c>
      <c r="D10" s="81">
        <f t="shared" si="0"/>
        <v>-14777</v>
      </c>
      <c r="E10" s="89">
        <f>D10/C10</f>
        <v>-3.0368982000978251E-2</v>
      </c>
      <c r="F10" s="81">
        <f t="shared" si="0"/>
        <v>471805</v>
      </c>
      <c r="H10" s="94"/>
    </row>
    <row r="11" spans="1:8" x14ac:dyDescent="0.25">
      <c r="A11" s="23" t="s">
        <v>73</v>
      </c>
      <c r="B11" s="96">
        <f>B12</f>
        <v>429791.92248987989</v>
      </c>
      <c r="C11" s="96">
        <f t="shared" ref="C11:F11" si="1">C12</f>
        <v>474829</v>
      </c>
      <c r="D11" s="96">
        <f t="shared" si="1"/>
        <v>-14841</v>
      </c>
      <c r="E11" s="98">
        <f t="shared" si="1"/>
        <v>3.1300000000000001E-2</v>
      </c>
      <c r="F11" s="96">
        <f t="shared" si="1"/>
        <v>459988</v>
      </c>
    </row>
    <row r="12" spans="1:8" x14ac:dyDescent="0.25">
      <c r="A12" s="13" t="s">
        <v>74</v>
      </c>
      <c r="B12" s="84">
        <f>3238267.24/7.5345</f>
        <v>429791.92248987989</v>
      </c>
      <c r="C12" s="84">
        <v>474829</v>
      </c>
      <c r="D12" s="84">
        <v>-14841</v>
      </c>
      <c r="E12" s="91">
        <v>3.1300000000000001E-2</v>
      </c>
      <c r="F12" s="84">
        <f>C12+D12</f>
        <v>459988</v>
      </c>
    </row>
    <row r="13" spans="1:8" x14ac:dyDescent="0.25">
      <c r="A13" s="25" t="s">
        <v>75</v>
      </c>
      <c r="B13" s="97">
        <f>B14</f>
        <v>17665.732298095427</v>
      </c>
      <c r="C13" s="97">
        <f t="shared" ref="C13:F13" si="2">C14</f>
        <v>6816</v>
      </c>
      <c r="D13" s="97">
        <f t="shared" si="2"/>
        <v>2144</v>
      </c>
      <c r="E13" s="99">
        <f t="shared" si="2"/>
        <v>0.31459999999999999</v>
      </c>
      <c r="F13" s="97">
        <f t="shared" si="2"/>
        <v>8960</v>
      </c>
    </row>
    <row r="14" spans="1:8" x14ac:dyDescent="0.25">
      <c r="A14" s="13" t="s">
        <v>76</v>
      </c>
      <c r="B14" s="84">
        <f>133102.46/7.5345</f>
        <v>17665.732298095427</v>
      </c>
      <c r="C14" s="84">
        <f>6803+13</f>
        <v>6816</v>
      </c>
      <c r="D14" s="84">
        <v>2144</v>
      </c>
      <c r="E14" s="91">
        <v>0.31459999999999999</v>
      </c>
      <c r="F14" s="84">
        <f>C14+D14</f>
        <v>8960</v>
      </c>
    </row>
    <row r="15" spans="1:8" x14ac:dyDescent="0.25">
      <c r="A15" s="25" t="s">
        <v>77</v>
      </c>
      <c r="B15" s="97">
        <f>SUM(B16:B17)</f>
        <v>5697.5645364655911</v>
      </c>
      <c r="C15" s="97">
        <f t="shared" ref="C15:F15" si="3">SUM(C16:C17)</f>
        <v>4937</v>
      </c>
      <c r="D15" s="97">
        <f t="shared" si="3"/>
        <v>-2080</v>
      </c>
      <c r="E15" s="99">
        <f t="shared" si="3"/>
        <v>-0.42130000000000001</v>
      </c>
      <c r="F15" s="97">
        <f t="shared" si="3"/>
        <v>2857</v>
      </c>
    </row>
    <row r="16" spans="1:8" x14ac:dyDescent="0.25">
      <c r="A16" s="13" t="s">
        <v>78</v>
      </c>
      <c r="B16" s="84">
        <f>35264.83/7.5345</f>
        <v>4680.4472758643569</v>
      </c>
      <c r="C16" s="84">
        <v>4937</v>
      </c>
      <c r="D16" s="84">
        <v>-2080</v>
      </c>
      <c r="E16" s="91">
        <v>-0.42130000000000001</v>
      </c>
      <c r="F16" s="84">
        <f>C16+D16</f>
        <v>2857</v>
      </c>
    </row>
    <row r="17" spans="1:6" x14ac:dyDescent="0.25">
      <c r="A17" s="13" t="s">
        <v>79</v>
      </c>
      <c r="B17" s="84">
        <f>7663.47/7.5345</f>
        <v>1017.1172606012343</v>
      </c>
      <c r="C17" s="84">
        <v>0</v>
      </c>
      <c r="D17" s="84">
        <v>0</v>
      </c>
      <c r="E17" s="91">
        <v>0</v>
      </c>
      <c r="F17" s="84">
        <f>C17+D17</f>
        <v>0</v>
      </c>
    </row>
    <row r="20" spans="1:6" ht="15.75" customHeight="1" x14ac:dyDescent="0.25">
      <c r="A20" s="113" t="s">
        <v>45</v>
      </c>
      <c r="B20" s="113"/>
      <c r="C20" s="113"/>
      <c r="D20" s="113"/>
      <c r="E20" s="113"/>
      <c r="F20" s="113"/>
    </row>
    <row r="21" spans="1:6" ht="18" x14ac:dyDescent="0.25">
      <c r="A21" s="4"/>
      <c r="B21" s="4"/>
      <c r="C21" s="4"/>
      <c r="D21" s="4"/>
      <c r="E21" s="87"/>
      <c r="F21" s="5"/>
    </row>
    <row r="22" spans="1:6" x14ac:dyDescent="0.25">
      <c r="A22" s="19" t="s">
        <v>46</v>
      </c>
      <c r="B22" s="18" t="s">
        <v>31</v>
      </c>
      <c r="C22" s="19" t="s">
        <v>32</v>
      </c>
      <c r="D22" s="19" t="s">
        <v>68</v>
      </c>
      <c r="E22" s="88" t="s">
        <v>67</v>
      </c>
      <c r="F22" s="19" t="s">
        <v>66</v>
      </c>
    </row>
    <row r="23" spans="1:6" x14ac:dyDescent="0.25">
      <c r="A23" s="37" t="s">
        <v>1</v>
      </c>
      <c r="B23" s="81">
        <f>B24+B26+B29</f>
        <v>457535.47547946114</v>
      </c>
      <c r="C23" s="81">
        <f>C24+C26+C29+C33</f>
        <v>486979</v>
      </c>
      <c r="D23" s="81">
        <f t="shared" ref="D23:E23" si="4">D24+D26+D29</f>
        <v>-14777</v>
      </c>
      <c r="E23" s="89">
        <f t="shared" si="4"/>
        <v>-0.13804600938967138</v>
      </c>
      <c r="F23" s="81">
        <f>F24+F26+F29+F33</f>
        <v>472202</v>
      </c>
    </row>
    <row r="24" spans="1:6" ht="15.75" customHeight="1" x14ac:dyDescent="0.25">
      <c r="A24" s="25" t="s">
        <v>73</v>
      </c>
      <c r="B24" s="97">
        <f>B25</f>
        <v>429791.92248987989</v>
      </c>
      <c r="C24" s="97">
        <f t="shared" ref="C24:F24" si="5">C25</f>
        <v>474829</v>
      </c>
      <c r="D24" s="97">
        <f t="shared" si="5"/>
        <v>-14841</v>
      </c>
      <c r="E24" s="99">
        <f t="shared" si="5"/>
        <v>-3.1300000000000001E-2</v>
      </c>
      <c r="F24" s="97">
        <f t="shared" si="5"/>
        <v>459988</v>
      </c>
    </row>
    <row r="25" spans="1:6" x14ac:dyDescent="0.25">
      <c r="A25" s="13" t="s">
        <v>74</v>
      </c>
      <c r="B25" s="83">
        <f>3238267.24/7.5345</f>
        <v>429791.92248987989</v>
      </c>
      <c r="C25" s="84">
        <v>474829</v>
      </c>
      <c r="D25" s="84">
        <v>-14841</v>
      </c>
      <c r="E25" s="91">
        <v>-3.1300000000000001E-2</v>
      </c>
      <c r="F25" s="84">
        <f>C25+D25</f>
        <v>459988</v>
      </c>
    </row>
    <row r="26" spans="1:6" x14ac:dyDescent="0.25">
      <c r="A26" s="25" t="s">
        <v>75</v>
      </c>
      <c r="B26" s="97">
        <f>SUM(B27:B28)</f>
        <v>21723.144203331343</v>
      </c>
      <c r="C26" s="97">
        <f t="shared" ref="C26:F26" si="6">SUM(C27:C28)</f>
        <v>6816</v>
      </c>
      <c r="D26" s="97">
        <f t="shared" si="6"/>
        <v>2144</v>
      </c>
      <c r="E26" s="99">
        <f t="shared" si="6"/>
        <v>0.31455399061032863</v>
      </c>
      <c r="F26" s="97">
        <f t="shared" si="6"/>
        <v>8960</v>
      </c>
    </row>
    <row r="27" spans="1:6" x14ac:dyDescent="0.25">
      <c r="A27" s="13" t="s">
        <v>76</v>
      </c>
      <c r="B27" s="83">
        <f>130113.33/7.5345</f>
        <v>17269.006569779016</v>
      </c>
      <c r="C27" s="84">
        <v>6816</v>
      </c>
      <c r="D27" s="84">
        <v>2144</v>
      </c>
      <c r="E27" s="91">
        <f>D27/C27</f>
        <v>0.31455399061032863</v>
      </c>
      <c r="F27" s="84">
        <f>C27+D27</f>
        <v>8960</v>
      </c>
    </row>
    <row r="28" spans="1:6" x14ac:dyDescent="0.25">
      <c r="A28" s="13" t="s">
        <v>80</v>
      </c>
      <c r="B28" s="83">
        <f>33559.7/7.5345</f>
        <v>4454.1376335523255</v>
      </c>
      <c r="C28" s="84">
        <v>0</v>
      </c>
      <c r="D28" s="84">
        <v>0</v>
      </c>
      <c r="E28" s="91">
        <v>0</v>
      </c>
      <c r="F28" s="84">
        <f>C28+D28</f>
        <v>0</v>
      </c>
    </row>
    <row r="29" spans="1:6" x14ac:dyDescent="0.25">
      <c r="A29" s="25" t="s">
        <v>77</v>
      </c>
      <c r="B29" s="97">
        <f>SUM(B30:B32)</f>
        <v>6020.4087862499164</v>
      </c>
      <c r="C29" s="97">
        <f t="shared" ref="C29:F29" si="7">SUM(C30:C32)</f>
        <v>4937</v>
      </c>
      <c r="D29" s="97">
        <f t="shared" si="7"/>
        <v>-2080</v>
      </c>
      <c r="E29" s="99">
        <f t="shared" si="7"/>
        <v>-0.42130000000000001</v>
      </c>
      <c r="F29" s="97">
        <f t="shared" si="7"/>
        <v>2857</v>
      </c>
    </row>
    <row r="30" spans="1:6" x14ac:dyDescent="0.25">
      <c r="A30" s="13" t="s">
        <v>78</v>
      </c>
      <c r="B30" s="83">
        <f>35264.83/7.5345</f>
        <v>4680.4472758643569</v>
      </c>
      <c r="C30" s="84">
        <v>4937</v>
      </c>
      <c r="D30" s="84">
        <v>-2080</v>
      </c>
      <c r="E30" s="91">
        <v>-0.42130000000000001</v>
      </c>
      <c r="F30" s="84">
        <f>C30+D30</f>
        <v>2857</v>
      </c>
    </row>
    <row r="31" spans="1:6" x14ac:dyDescent="0.25">
      <c r="A31" s="13" t="s">
        <v>81</v>
      </c>
      <c r="B31" s="83">
        <f>2432.47/7.5345</f>
        <v>322.84424978432537</v>
      </c>
      <c r="C31" s="84">
        <v>0</v>
      </c>
      <c r="D31" s="84">
        <v>0</v>
      </c>
      <c r="E31" s="91">
        <v>0</v>
      </c>
      <c r="F31" s="84">
        <f t="shared" ref="F31:F32" si="8">C31+D31</f>
        <v>0</v>
      </c>
    </row>
    <row r="32" spans="1:6" x14ac:dyDescent="0.25">
      <c r="A32" s="13" t="s">
        <v>79</v>
      </c>
      <c r="B32" s="83">
        <f>7663.47/7.5345</f>
        <v>1017.1172606012343</v>
      </c>
      <c r="C32" s="84">
        <v>0</v>
      </c>
      <c r="D32" s="84">
        <v>0</v>
      </c>
      <c r="E32" s="91">
        <v>0</v>
      </c>
      <c r="F32" s="84">
        <f t="shared" si="8"/>
        <v>0</v>
      </c>
    </row>
    <row r="33" spans="1:6" x14ac:dyDescent="0.25">
      <c r="A33" s="25" t="s">
        <v>82</v>
      </c>
      <c r="B33" s="97">
        <f>SUM(B34:B36)</f>
        <v>0</v>
      </c>
      <c r="C33" s="97">
        <f t="shared" ref="C33:F33" si="9">SUM(C34:C36)</f>
        <v>397</v>
      </c>
      <c r="D33" s="97">
        <f t="shared" si="9"/>
        <v>0</v>
      </c>
      <c r="E33" s="99">
        <f t="shared" si="9"/>
        <v>0</v>
      </c>
      <c r="F33" s="97">
        <f t="shared" si="9"/>
        <v>397</v>
      </c>
    </row>
    <row r="34" spans="1:6" x14ac:dyDescent="0.25">
      <c r="A34" s="13" t="s">
        <v>83</v>
      </c>
      <c r="B34" s="83">
        <v>0</v>
      </c>
      <c r="C34" s="84">
        <v>397</v>
      </c>
      <c r="D34" s="84">
        <v>0</v>
      </c>
      <c r="E34" s="91">
        <v>0</v>
      </c>
      <c r="F34" s="84">
        <f>C34+D34</f>
        <v>397</v>
      </c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D9" sqref="D9:F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3" t="s">
        <v>71</v>
      </c>
      <c r="B1" s="113"/>
      <c r="C1" s="113"/>
      <c r="D1" s="113"/>
      <c r="E1" s="113"/>
      <c r="F1" s="11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3" t="s">
        <v>19</v>
      </c>
      <c r="B3" s="113"/>
      <c r="C3" s="113"/>
      <c r="D3" s="113"/>
      <c r="E3" s="126"/>
      <c r="F3" s="12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3" t="s">
        <v>4</v>
      </c>
      <c r="B5" s="114"/>
      <c r="C5" s="114"/>
      <c r="D5" s="114"/>
      <c r="E5" s="114"/>
      <c r="F5" s="11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3" t="s">
        <v>12</v>
      </c>
      <c r="B7" s="131"/>
      <c r="C7" s="131"/>
      <c r="D7" s="131"/>
      <c r="E7" s="131"/>
      <c r="F7" s="131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9" t="s">
        <v>46</v>
      </c>
      <c r="B9" s="18" t="s">
        <v>31</v>
      </c>
      <c r="C9" s="19" t="s">
        <v>32</v>
      </c>
      <c r="D9" s="19" t="s">
        <v>68</v>
      </c>
      <c r="E9" s="88" t="s">
        <v>67</v>
      </c>
      <c r="F9" s="19" t="s">
        <v>66</v>
      </c>
    </row>
    <row r="10" spans="1:6" ht="15.75" customHeight="1" x14ac:dyDescent="0.25">
      <c r="A10" s="11" t="s">
        <v>13</v>
      </c>
      <c r="B10" s="100">
        <f>B11+B13</f>
        <v>457535.47547946114</v>
      </c>
      <c r="C10" s="100">
        <f t="shared" ref="C10:F10" si="0">C11+C13</f>
        <v>486979</v>
      </c>
      <c r="D10" s="100">
        <f t="shared" si="0"/>
        <v>-14777</v>
      </c>
      <c r="E10" s="102">
        <f t="shared" si="0"/>
        <v>-0.4476</v>
      </c>
      <c r="F10" s="100">
        <f t="shared" si="0"/>
        <v>472202</v>
      </c>
    </row>
    <row r="11" spans="1:6" ht="15.75" customHeight="1" x14ac:dyDescent="0.25">
      <c r="A11" s="11" t="s">
        <v>14</v>
      </c>
      <c r="B11" s="82">
        <f>B12</f>
        <v>451278.60242882738</v>
      </c>
      <c r="C11" s="82">
        <f t="shared" ref="C11:F11" si="1">C12</f>
        <v>482042</v>
      </c>
      <c r="D11" s="82">
        <f t="shared" si="1"/>
        <v>-12697</v>
      </c>
      <c r="E11" s="90">
        <f t="shared" si="1"/>
        <v>-2.63E-2</v>
      </c>
      <c r="F11" s="82">
        <f t="shared" si="1"/>
        <v>469345</v>
      </c>
    </row>
    <row r="12" spans="1:6" x14ac:dyDescent="0.25">
      <c r="A12" s="101" t="s">
        <v>15</v>
      </c>
      <c r="B12" s="83">
        <f>3400158.63/7.5345</f>
        <v>451278.60242882738</v>
      </c>
      <c r="C12" s="84">
        <v>482042</v>
      </c>
      <c r="D12" s="84">
        <v>-12697</v>
      </c>
      <c r="E12" s="91">
        <v>-2.63E-2</v>
      </c>
      <c r="F12" s="84">
        <f>D12+C12</f>
        <v>469345</v>
      </c>
    </row>
    <row r="13" spans="1:6" ht="25.5" x14ac:dyDescent="0.25">
      <c r="A13" s="11" t="s">
        <v>84</v>
      </c>
      <c r="B13" s="82">
        <f>B14</f>
        <v>6256.8730506337515</v>
      </c>
      <c r="C13" s="82">
        <f t="shared" ref="C13:F13" si="2">C14</f>
        <v>4937</v>
      </c>
      <c r="D13" s="82">
        <f t="shared" si="2"/>
        <v>-2080</v>
      </c>
      <c r="E13" s="90">
        <f t="shared" si="2"/>
        <v>-0.42130000000000001</v>
      </c>
      <c r="F13" s="82">
        <f t="shared" si="2"/>
        <v>2857</v>
      </c>
    </row>
    <row r="14" spans="1:6" x14ac:dyDescent="0.25">
      <c r="A14" s="17" t="s">
        <v>85</v>
      </c>
      <c r="B14" s="83">
        <f>47142.41/7.5345</f>
        <v>6256.8730506337515</v>
      </c>
      <c r="C14" s="84">
        <v>4937</v>
      </c>
      <c r="D14" s="84">
        <v>-2080</v>
      </c>
      <c r="E14" s="91">
        <v>-0.42130000000000001</v>
      </c>
      <c r="F14" s="86">
        <f>C14+D14</f>
        <v>2857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7" sqref="F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3" t="s">
        <v>71</v>
      </c>
      <c r="B1" s="113"/>
      <c r="C1" s="113"/>
      <c r="D1" s="113"/>
      <c r="E1" s="113"/>
      <c r="F1" s="113"/>
      <c r="G1" s="113"/>
      <c r="H1" s="11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3" t="s">
        <v>19</v>
      </c>
      <c r="B3" s="113"/>
      <c r="C3" s="113"/>
      <c r="D3" s="113"/>
      <c r="E3" s="113"/>
      <c r="F3" s="113"/>
      <c r="G3" s="113"/>
      <c r="H3" s="11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3" t="s">
        <v>51</v>
      </c>
      <c r="B5" s="113"/>
      <c r="C5" s="113"/>
      <c r="D5" s="113"/>
      <c r="E5" s="113"/>
      <c r="F5" s="113"/>
      <c r="G5" s="113"/>
      <c r="H5" s="11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x14ac:dyDescent="0.25">
      <c r="A7" s="19" t="s">
        <v>5</v>
      </c>
      <c r="B7" s="18" t="s">
        <v>6</v>
      </c>
      <c r="C7" s="18" t="s">
        <v>30</v>
      </c>
      <c r="D7" s="18" t="s">
        <v>31</v>
      </c>
      <c r="E7" s="19" t="s">
        <v>32</v>
      </c>
      <c r="F7" s="19" t="s">
        <v>68</v>
      </c>
      <c r="G7" s="88" t="s">
        <v>67</v>
      </c>
      <c r="H7" s="19" t="s">
        <v>66</v>
      </c>
    </row>
    <row r="8" spans="1:8" x14ac:dyDescent="0.25">
      <c r="A8" s="35"/>
      <c r="B8" s="36"/>
      <c r="C8" s="34" t="s">
        <v>53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8"/>
      <c r="D11" s="8"/>
      <c r="E11" s="9"/>
      <c r="F11" s="9"/>
      <c r="G11" s="9"/>
      <c r="H11" s="9"/>
    </row>
    <row r="12" spans="1:8" x14ac:dyDescent="0.25">
      <c r="A12" s="11"/>
      <c r="B12" s="15"/>
      <c r="C12" s="34" t="s">
        <v>56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7" sqref="D7: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3" t="s">
        <v>71</v>
      </c>
      <c r="B1" s="113"/>
      <c r="C1" s="113"/>
      <c r="D1" s="113"/>
      <c r="E1" s="113"/>
      <c r="F1" s="11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3" t="s">
        <v>19</v>
      </c>
      <c r="B3" s="113"/>
      <c r="C3" s="113"/>
      <c r="D3" s="113"/>
      <c r="E3" s="113"/>
      <c r="F3" s="11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3" t="s">
        <v>52</v>
      </c>
      <c r="B5" s="113"/>
      <c r="C5" s="113"/>
      <c r="D5" s="113"/>
      <c r="E5" s="113"/>
      <c r="F5" s="113"/>
    </row>
    <row r="6" spans="1:6" ht="18" x14ac:dyDescent="0.25">
      <c r="A6" s="4"/>
      <c r="B6" s="4"/>
      <c r="C6" s="4"/>
      <c r="D6" s="4"/>
      <c r="E6" s="5"/>
      <c r="F6" s="5"/>
    </row>
    <row r="7" spans="1:6" x14ac:dyDescent="0.25">
      <c r="A7" s="18" t="s">
        <v>46</v>
      </c>
      <c r="B7" s="18" t="s">
        <v>31</v>
      </c>
      <c r="C7" s="19" t="s">
        <v>32</v>
      </c>
      <c r="D7" s="19" t="s">
        <v>68</v>
      </c>
      <c r="E7" s="88" t="s">
        <v>67</v>
      </c>
      <c r="F7" s="19" t="s">
        <v>66</v>
      </c>
    </row>
    <row r="8" spans="1:6" x14ac:dyDescent="0.25">
      <c r="A8" s="11" t="s">
        <v>53</v>
      </c>
      <c r="B8" s="8"/>
      <c r="C8" s="9"/>
      <c r="D8" s="9"/>
      <c r="E8" s="9"/>
      <c r="F8" s="9"/>
    </row>
    <row r="9" spans="1:6" ht="25.5" x14ac:dyDescent="0.25">
      <c r="A9" s="11" t="s">
        <v>54</v>
      </c>
      <c r="B9" s="8"/>
      <c r="C9" s="9"/>
      <c r="D9" s="9"/>
      <c r="E9" s="9"/>
      <c r="F9" s="9"/>
    </row>
    <row r="10" spans="1:6" ht="25.5" x14ac:dyDescent="0.25">
      <c r="A10" s="16" t="s">
        <v>55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56</v>
      </c>
      <c r="B12" s="8"/>
      <c r="C12" s="9"/>
      <c r="D12" s="9"/>
      <c r="E12" s="9"/>
      <c r="F12" s="9"/>
    </row>
    <row r="13" spans="1:6" x14ac:dyDescent="0.25">
      <c r="A13" s="23" t="s">
        <v>47</v>
      </c>
      <c r="B13" s="8"/>
      <c r="C13" s="9"/>
      <c r="D13" s="9"/>
      <c r="E13" s="9"/>
      <c r="F13" s="9"/>
    </row>
    <row r="14" spans="1:6" x14ac:dyDescent="0.25">
      <c r="A14" s="13" t="s">
        <v>48</v>
      </c>
      <c r="B14" s="8"/>
      <c r="C14" s="9"/>
      <c r="D14" s="9"/>
      <c r="E14" s="9"/>
      <c r="F14" s="10"/>
    </row>
    <row r="15" spans="1:6" x14ac:dyDescent="0.25">
      <c r="A15" s="23" t="s">
        <v>49</v>
      </c>
      <c r="B15" s="8"/>
      <c r="C15" s="9"/>
      <c r="D15" s="9"/>
      <c r="E15" s="9"/>
      <c r="F15" s="10"/>
    </row>
    <row r="16" spans="1:6" x14ac:dyDescent="0.25">
      <c r="A16" s="13" t="s">
        <v>50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7"/>
  <sheetViews>
    <sheetView topLeftCell="A23" workbookViewId="0">
      <selection activeCell="A58" sqref="A5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5.28515625" style="60" customWidth="1"/>
    <col min="9" max="9" width="25.28515625" customWidth="1"/>
  </cols>
  <sheetData>
    <row r="1" spans="1:9" ht="42" customHeight="1" x14ac:dyDescent="0.25">
      <c r="A1" s="113" t="s">
        <v>71</v>
      </c>
      <c r="B1" s="113"/>
      <c r="C1" s="113"/>
      <c r="D1" s="113"/>
      <c r="E1" s="113"/>
      <c r="F1" s="113"/>
      <c r="G1" s="113"/>
      <c r="H1" s="113"/>
      <c r="I1" s="113"/>
    </row>
    <row r="2" spans="1:9" ht="18" x14ac:dyDescent="0.25">
      <c r="A2" s="4"/>
      <c r="B2" s="4"/>
      <c r="C2" s="4"/>
      <c r="D2" s="4"/>
      <c r="E2" s="4"/>
      <c r="F2" s="4"/>
      <c r="G2" s="4"/>
      <c r="H2" s="87"/>
      <c r="I2" s="5"/>
    </row>
    <row r="3" spans="1:9" ht="18" customHeight="1" x14ac:dyDescent="0.25">
      <c r="A3" s="113" t="s">
        <v>18</v>
      </c>
      <c r="B3" s="114"/>
      <c r="C3" s="114"/>
      <c r="D3" s="114"/>
      <c r="E3" s="114"/>
      <c r="F3" s="114"/>
      <c r="G3" s="114"/>
      <c r="H3" s="114"/>
      <c r="I3" s="114"/>
    </row>
    <row r="4" spans="1:9" ht="18" x14ac:dyDescent="0.25">
      <c r="A4" s="4"/>
      <c r="B4" s="4"/>
      <c r="C4" s="4"/>
      <c r="D4" s="4"/>
      <c r="E4" s="4"/>
      <c r="F4" s="4"/>
      <c r="G4" s="4"/>
      <c r="H4" s="87"/>
      <c r="I4" s="5"/>
    </row>
    <row r="5" spans="1:9" x14ac:dyDescent="0.25">
      <c r="A5" s="138" t="s">
        <v>20</v>
      </c>
      <c r="B5" s="139"/>
      <c r="C5" s="140"/>
      <c r="D5" s="18" t="s">
        <v>21</v>
      </c>
      <c r="E5" s="18" t="s">
        <v>31</v>
      </c>
      <c r="F5" s="19" t="s">
        <v>32</v>
      </c>
      <c r="G5" s="19" t="s">
        <v>68</v>
      </c>
      <c r="H5" s="88" t="s">
        <v>67</v>
      </c>
      <c r="I5" s="19" t="s">
        <v>66</v>
      </c>
    </row>
    <row r="6" spans="1:9" ht="15" customHeight="1" x14ac:dyDescent="0.25">
      <c r="A6" s="132" t="s">
        <v>13</v>
      </c>
      <c r="B6" s="133"/>
      <c r="C6" s="134"/>
      <c r="D6" s="18"/>
      <c r="E6" s="103">
        <f>E7+E27+E42</f>
        <v>457535.47547946114</v>
      </c>
      <c r="F6" s="103">
        <f>F7+F27+F42</f>
        <v>486979</v>
      </c>
      <c r="G6" s="103">
        <f>G7+G27+G42</f>
        <v>-14777</v>
      </c>
      <c r="H6" s="107">
        <f>G6/F6</f>
        <v>-3.0344224288932378E-2</v>
      </c>
      <c r="I6" s="103">
        <f>I7+I27+I42</f>
        <v>472202</v>
      </c>
    </row>
    <row r="7" spans="1:9" ht="15" customHeight="1" x14ac:dyDescent="0.25">
      <c r="A7" s="135" t="s">
        <v>86</v>
      </c>
      <c r="B7" s="136"/>
      <c r="C7" s="137"/>
      <c r="D7" s="27" t="s">
        <v>87</v>
      </c>
      <c r="E7" s="82">
        <f>E8</f>
        <v>451278.60242882738</v>
      </c>
      <c r="F7" s="82">
        <f t="shared" ref="F7:I7" si="0">F8</f>
        <v>482042</v>
      </c>
      <c r="G7" s="82">
        <f t="shared" si="0"/>
        <v>-12697</v>
      </c>
      <c r="H7" s="90">
        <f t="shared" si="0"/>
        <v>-2.6340028462250177E-2</v>
      </c>
      <c r="I7" s="82">
        <f t="shared" si="0"/>
        <v>469345</v>
      </c>
    </row>
    <row r="8" spans="1:9" ht="27" customHeight="1" x14ac:dyDescent="0.25">
      <c r="A8" s="135" t="s">
        <v>88</v>
      </c>
      <c r="B8" s="136"/>
      <c r="C8" s="137"/>
      <c r="D8" s="27" t="s">
        <v>89</v>
      </c>
      <c r="E8" s="82">
        <f>E9+E14+E20+E24</f>
        <v>451278.60242882738</v>
      </c>
      <c r="F8" s="82">
        <f>F9+F14+F20+F24</f>
        <v>482042</v>
      </c>
      <c r="G8" s="82">
        <f>G9+G14+G20+G24</f>
        <v>-12697</v>
      </c>
      <c r="H8" s="90">
        <f>G8/F8</f>
        <v>-2.6340028462250177E-2</v>
      </c>
      <c r="I8" s="82">
        <f>I9+I14+I20+I24</f>
        <v>469345</v>
      </c>
    </row>
    <row r="9" spans="1:9" x14ac:dyDescent="0.25">
      <c r="A9" s="141" t="s">
        <v>90</v>
      </c>
      <c r="B9" s="142"/>
      <c r="C9" s="143"/>
      <c r="D9" s="33" t="s">
        <v>91</v>
      </c>
      <c r="E9" s="83">
        <f>E10</f>
        <v>429791.92248987989</v>
      </c>
      <c r="F9" s="83">
        <f t="shared" ref="F9:G9" si="1">F10</f>
        <v>474829</v>
      </c>
      <c r="G9" s="83">
        <f t="shared" si="1"/>
        <v>-14841</v>
      </c>
      <c r="H9" s="108">
        <f>G9/F9</f>
        <v>-3.1255462492813205E-2</v>
      </c>
      <c r="I9" s="83">
        <f>F9+G9</f>
        <v>459988</v>
      </c>
    </row>
    <row r="10" spans="1:9" x14ac:dyDescent="0.25">
      <c r="A10" s="147">
        <v>3</v>
      </c>
      <c r="B10" s="148"/>
      <c r="C10" s="149"/>
      <c r="D10" s="26" t="s">
        <v>9</v>
      </c>
      <c r="E10" s="83">
        <f>SUM(E11:E13)</f>
        <v>429791.92248987989</v>
      </c>
      <c r="F10" s="83">
        <f t="shared" ref="F10:G10" si="2">SUM(F11:F13)</f>
        <v>474829</v>
      </c>
      <c r="G10" s="83">
        <f t="shared" si="2"/>
        <v>-14841</v>
      </c>
      <c r="H10" s="108">
        <f t="shared" ref="H10:H26" si="3">G10/F10</f>
        <v>-3.1255462492813205E-2</v>
      </c>
      <c r="I10" s="83">
        <f t="shared" ref="I10:I26" si="4">F10+G10</f>
        <v>459988</v>
      </c>
    </row>
    <row r="11" spans="1:9" x14ac:dyDescent="0.25">
      <c r="A11" s="144">
        <v>31</v>
      </c>
      <c r="B11" s="145"/>
      <c r="C11" s="146"/>
      <c r="D11" s="26" t="s">
        <v>10</v>
      </c>
      <c r="E11" s="83">
        <f>2790945.44/7.5345</f>
        <v>370422.11692879419</v>
      </c>
      <c r="F11" s="84">
        <v>393651</v>
      </c>
      <c r="G11" s="84">
        <v>-10470</v>
      </c>
      <c r="H11" s="108">
        <f t="shared" si="3"/>
        <v>-2.6597163477293337E-2</v>
      </c>
      <c r="I11" s="83">
        <f t="shared" si="4"/>
        <v>383181</v>
      </c>
    </row>
    <row r="12" spans="1:9" ht="15" customHeight="1" x14ac:dyDescent="0.25">
      <c r="A12" s="144">
        <v>32</v>
      </c>
      <c r="B12" s="145"/>
      <c r="C12" s="146"/>
      <c r="D12" s="26" t="s">
        <v>22</v>
      </c>
      <c r="E12" s="83">
        <f>439860.28/7.5345</f>
        <v>58379.491671643773</v>
      </c>
      <c r="F12" s="84">
        <v>80178</v>
      </c>
      <c r="G12" s="84">
        <v>-4271</v>
      </c>
      <c r="H12" s="108">
        <f t="shared" si="3"/>
        <v>-5.3268976527226918E-2</v>
      </c>
      <c r="I12" s="83">
        <f t="shared" si="4"/>
        <v>75907</v>
      </c>
    </row>
    <row r="13" spans="1:9" ht="14.25" customHeight="1" x14ac:dyDescent="0.25">
      <c r="A13" s="52">
        <v>34</v>
      </c>
      <c r="B13" s="53"/>
      <c r="C13" s="54"/>
      <c r="D13" s="26" t="s">
        <v>72</v>
      </c>
      <c r="E13" s="83">
        <f>7461.52/7.5345</f>
        <v>990.31388944190064</v>
      </c>
      <c r="F13" s="84">
        <v>1000</v>
      </c>
      <c r="G13" s="84">
        <v>-100</v>
      </c>
      <c r="H13" s="108">
        <f t="shared" si="3"/>
        <v>-0.1</v>
      </c>
      <c r="I13" s="83">
        <f t="shared" si="4"/>
        <v>900</v>
      </c>
    </row>
    <row r="14" spans="1:9" ht="15" customHeight="1" x14ac:dyDescent="0.25">
      <c r="A14" s="141" t="s">
        <v>92</v>
      </c>
      <c r="B14" s="142"/>
      <c r="C14" s="143"/>
      <c r="D14" s="33" t="s">
        <v>93</v>
      </c>
      <c r="E14" s="83">
        <f>E15+E18</f>
        <v>17032.542305395182</v>
      </c>
      <c r="F14" s="83">
        <f>F15+F18</f>
        <v>6816</v>
      </c>
      <c r="G14" s="83">
        <f>G15+G18</f>
        <v>2144</v>
      </c>
      <c r="H14" s="108">
        <f t="shared" si="3"/>
        <v>0.31455399061032863</v>
      </c>
      <c r="I14" s="83">
        <f t="shared" si="4"/>
        <v>8960</v>
      </c>
    </row>
    <row r="15" spans="1:9" x14ac:dyDescent="0.25">
      <c r="A15" s="147">
        <v>3</v>
      </c>
      <c r="B15" s="148"/>
      <c r="C15" s="149"/>
      <c r="D15" s="26" t="s">
        <v>9</v>
      </c>
      <c r="E15" s="83">
        <f>SUM(E16:E17)</f>
        <v>15988.907027672705</v>
      </c>
      <c r="F15" s="83">
        <f>SUM(F16:F17)</f>
        <v>4629</v>
      </c>
      <c r="G15" s="83">
        <f>SUM(G16:G17)</f>
        <v>893</v>
      </c>
      <c r="H15" s="108">
        <f t="shared" si="3"/>
        <v>0.19291423633614171</v>
      </c>
      <c r="I15" s="83">
        <f t="shared" si="4"/>
        <v>5522</v>
      </c>
    </row>
    <row r="16" spans="1:9" x14ac:dyDescent="0.25">
      <c r="A16" s="144">
        <v>31</v>
      </c>
      <c r="B16" s="145"/>
      <c r="C16" s="146"/>
      <c r="D16" s="26" t="s">
        <v>10</v>
      </c>
      <c r="E16" s="83">
        <v>0</v>
      </c>
      <c r="F16" s="84">
        <v>3780</v>
      </c>
      <c r="G16" s="84">
        <v>44</v>
      </c>
      <c r="H16" s="108">
        <f t="shared" si="3"/>
        <v>1.164021164021164E-2</v>
      </c>
      <c r="I16" s="83">
        <f t="shared" si="4"/>
        <v>3824</v>
      </c>
    </row>
    <row r="17" spans="1:9" ht="15" customHeight="1" x14ac:dyDescent="0.25">
      <c r="A17" s="144">
        <v>32</v>
      </c>
      <c r="B17" s="145"/>
      <c r="C17" s="146"/>
      <c r="D17" s="26" t="s">
        <v>22</v>
      </c>
      <c r="E17" s="83">
        <f>120468.42/7.5345</f>
        <v>15988.907027672705</v>
      </c>
      <c r="F17" s="84">
        <v>849</v>
      </c>
      <c r="G17" s="84">
        <v>849</v>
      </c>
      <c r="H17" s="108">
        <f t="shared" si="3"/>
        <v>1</v>
      </c>
      <c r="I17" s="83">
        <f t="shared" si="4"/>
        <v>1698</v>
      </c>
    </row>
    <row r="18" spans="1:9" ht="25.5" x14ac:dyDescent="0.25">
      <c r="A18" s="147">
        <v>4</v>
      </c>
      <c r="B18" s="148"/>
      <c r="C18" s="149"/>
      <c r="D18" s="26" t="s">
        <v>11</v>
      </c>
      <c r="E18" s="83">
        <f>E19</f>
        <v>1043.6352777224765</v>
      </c>
      <c r="F18" s="83">
        <f t="shared" ref="F18:G18" si="5">F19</f>
        <v>2187</v>
      </c>
      <c r="G18" s="83">
        <f t="shared" si="5"/>
        <v>1251</v>
      </c>
      <c r="H18" s="108">
        <f t="shared" si="3"/>
        <v>0.57201646090534974</v>
      </c>
      <c r="I18" s="83">
        <f t="shared" si="4"/>
        <v>3438</v>
      </c>
    </row>
    <row r="19" spans="1:9" ht="25.5" x14ac:dyDescent="0.25">
      <c r="A19" s="144">
        <v>42</v>
      </c>
      <c r="B19" s="145"/>
      <c r="C19" s="146"/>
      <c r="D19" s="26" t="s">
        <v>29</v>
      </c>
      <c r="E19" s="83">
        <f>7863.27/7.5345</f>
        <v>1043.6352777224765</v>
      </c>
      <c r="F19" s="84">
        <v>2187</v>
      </c>
      <c r="G19" s="84">
        <v>1251</v>
      </c>
      <c r="H19" s="108">
        <f t="shared" si="3"/>
        <v>0.57201646090534974</v>
      </c>
      <c r="I19" s="83">
        <f t="shared" si="4"/>
        <v>3438</v>
      </c>
    </row>
    <row r="20" spans="1:9" x14ac:dyDescent="0.25">
      <c r="A20" s="141" t="s">
        <v>94</v>
      </c>
      <c r="B20" s="142"/>
      <c r="C20" s="143"/>
      <c r="D20" s="16" t="s">
        <v>95</v>
      </c>
      <c r="E20" s="83">
        <f>E21</f>
        <v>4454.1376335523255</v>
      </c>
      <c r="F20" s="83">
        <f t="shared" ref="F20:G20" si="6">F21</f>
        <v>0</v>
      </c>
      <c r="G20" s="83">
        <f t="shared" si="6"/>
        <v>0</v>
      </c>
      <c r="H20" s="108">
        <v>0</v>
      </c>
      <c r="I20" s="83">
        <f t="shared" si="4"/>
        <v>0</v>
      </c>
    </row>
    <row r="21" spans="1:9" x14ac:dyDescent="0.25">
      <c r="A21" s="147">
        <v>3</v>
      </c>
      <c r="B21" s="148"/>
      <c r="C21" s="149"/>
      <c r="D21" s="26" t="s">
        <v>9</v>
      </c>
      <c r="E21" s="83">
        <f>SUM(E22:E23)</f>
        <v>4454.1376335523255</v>
      </c>
      <c r="F21" s="83">
        <f t="shared" ref="F21:G21" si="7">SUM(F22:F23)</f>
        <v>0</v>
      </c>
      <c r="G21" s="83">
        <f t="shared" si="7"/>
        <v>0</v>
      </c>
      <c r="H21" s="108">
        <v>0</v>
      </c>
      <c r="I21" s="83">
        <f t="shared" si="4"/>
        <v>0</v>
      </c>
    </row>
    <row r="22" spans="1:9" x14ac:dyDescent="0.25">
      <c r="A22" s="144">
        <v>31</v>
      </c>
      <c r="B22" s="145"/>
      <c r="C22" s="146"/>
      <c r="D22" s="26" t="s">
        <v>10</v>
      </c>
      <c r="E22" s="83">
        <f>21846.94/7.5345</f>
        <v>2899.58723206583</v>
      </c>
      <c r="F22" s="84">
        <v>0</v>
      </c>
      <c r="G22" s="83">
        <f t="shared" ref="G22:G23" si="8">SUM(G23:G24)</f>
        <v>0</v>
      </c>
      <c r="H22" s="108">
        <v>0</v>
      </c>
      <c r="I22" s="83">
        <f t="shared" si="4"/>
        <v>0</v>
      </c>
    </row>
    <row r="23" spans="1:9" x14ac:dyDescent="0.25">
      <c r="A23" s="144">
        <v>32</v>
      </c>
      <c r="B23" s="145"/>
      <c r="C23" s="146"/>
      <c r="D23" s="26" t="s">
        <v>22</v>
      </c>
      <c r="E23" s="83">
        <f>11712.76/7.5345</f>
        <v>1554.5504014864955</v>
      </c>
      <c r="F23" s="84">
        <v>0</v>
      </c>
      <c r="G23" s="83">
        <f t="shared" si="8"/>
        <v>0</v>
      </c>
      <c r="H23" s="108">
        <v>0</v>
      </c>
      <c r="I23" s="83">
        <f t="shared" si="4"/>
        <v>0</v>
      </c>
    </row>
    <row r="24" spans="1:9" x14ac:dyDescent="0.25">
      <c r="A24" s="141" t="s">
        <v>96</v>
      </c>
      <c r="B24" s="142"/>
      <c r="C24" s="143"/>
      <c r="D24" s="16" t="s">
        <v>95</v>
      </c>
      <c r="E24" s="83">
        <f>E25</f>
        <v>0</v>
      </c>
      <c r="F24" s="83">
        <f t="shared" ref="F24:G24" si="9">F25</f>
        <v>397</v>
      </c>
      <c r="G24" s="83">
        <f t="shared" si="9"/>
        <v>0</v>
      </c>
      <c r="H24" s="108">
        <f t="shared" si="3"/>
        <v>0</v>
      </c>
      <c r="I24" s="83">
        <f t="shared" si="4"/>
        <v>397</v>
      </c>
    </row>
    <row r="25" spans="1:9" x14ac:dyDescent="0.25">
      <c r="A25" s="147">
        <v>3</v>
      </c>
      <c r="B25" s="148"/>
      <c r="C25" s="149"/>
      <c r="D25" s="26" t="s">
        <v>9</v>
      </c>
      <c r="E25" s="83">
        <v>0</v>
      </c>
      <c r="F25" s="83">
        <f t="shared" ref="F25:G26" si="10">SUM(F26:F27)</f>
        <v>397</v>
      </c>
      <c r="G25" s="83">
        <f t="shared" si="10"/>
        <v>0</v>
      </c>
      <c r="H25" s="108">
        <f t="shared" si="3"/>
        <v>0</v>
      </c>
      <c r="I25" s="83">
        <f t="shared" si="4"/>
        <v>397</v>
      </c>
    </row>
    <row r="26" spans="1:9" x14ac:dyDescent="0.25">
      <c r="A26" s="144">
        <v>31</v>
      </c>
      <c r="B26" s="145"/>
      <c r="C26" s="146"/>
      <c r="D26" s="26" t="s">
        <v>10</v>
      </c>
      <c r="E26" s="83">
        <v>0</v>
      </c>
      <c r="F26" s="84">
        <v>397</v>
      </c>
      <c r="G26" s="83">
        <f t="shared" si="10"/>
        <v>0</v>
      </c>
      <c r="H26" s="108">
        <f t="shared" si="3"/>
        <v>0</v>
      </c>
      <c r="I26" s="83">
        <f t="shared" si="4"/>
        <v>397</v>
      </c>
    </row>
    <row r="27" spans="1:9" ht="38.25" x14ac:dyDescent="0.25">
      <c r="A27" s="135" t="s">
        <v>97</v>
      </c>
      <c r="B27" s="136"/>
      <c r="C27" s="137"/>
      <c r="D27" s="27" t="s">
        <v>98</v>
      </c>
      <c r="E27" s="82">
        <f>E28</f>
        <v>1576.4257747693939</v>
      </c>
      <c r="F27" s="82">
        <f t="shared" ref="F27:I27" si="11">F28</f>
        <v>0</v>
      </c>
      <c r="G27" s="82">
        <f t="shared" si="11"/>
        <v>0</v>
      </c>
      <c r="H27" s="90">
        <f t="shared" si="11"/>
        <v>0</v>
      </c>
      <c r="I27" s="82">
        <f t="shared" si="11"/>
        <v>0</v>
      </c>
    </row>
    <row r="28" spans="1:9" ht="38.25" x14ac:dyDescent="0.25">
      <c r="A28" s="135" t="s">
        <v>99</v>
      </c>
      <c r="B28" s="136"/>
      <c r="C28" s="137"/>
      <c r="D28" s="27" t="s">
        <v>100</v>
      </c>
      <c r="E28" s="82">
        <f>E29+E35+E38</f>
        <v>1576.4257747693939</v>
      </c>
      <c r="F28" s="82">
        <f t="shared" ref="F28:I28" si="12">F29+F35+F38</f>
        <v>0</v>
      </c>
      <c r="G28" s="82">
        <f t="shared" si="12"/>
        <v>0</v>
      </c>
      <c r="H28" s="90">
        <f t="shared" si="12"/>
        <v>0</v>
      </c>
      <c r="I28" s="82">
        <f t="shared" si="12"/>
        <v>0</v>
      </c>
    </row>
    <row r="29" spans="1:9" ht="25.5" x14ac:dyDescent="0.25">
      <c r="A29" s="141" t="s">
        <v>92</v>
      </c>
      <c r="B29" s="142"/>
      <c r="C29" s="143"/>
      <c r="D29" s="33" t="s">
        <v>93</v>
      </c>
      <c r="E29" s="83">
        <f>E30+E33</f>
        <v>236.46426438383435</v>
      </c>
      <c r="F29" s="83">
        <f t="shared" ref="F29" si="13">F30+F33</f>
        <v>0</v>
      </c>
      <c r="G29" s="83">
        <f t="shared" ref="G29" si="14">G30+G33</f>
        <v>0</v>
      </c>
      <c r="H29" s="108">
        <v>0</v>
      </c>
      <c r="I29" s="83">
        <f>F29+G29</f>
        <v>0</v>
      </c>
    </row>
    <row r="30" spans="1:9" x14ac:dyDescent="0.25">
      <c r="A30" s="147">
        <v>3</v>
      </c>
      <c r="B30" s="148"/>
      <c r="C30" s="149"/>
      <c r="D30" s="26" t="s">
        <v>9</v>
      </c>
      <c r="E30" s="83">
        <f>SUM(E31:E32)</f>
        <v>179.49167164377198</v>
      </c>
      <c r="F30" s="83">
        <f t="shared" ref="F30" si="15">SUM(F31:F32)</f>
        <v>0</v>
      </c>
      <c r="G30" s="83">
        <f t="shared" ref="G30" si="16">SUM(G31:G32)</f>
        <v>0</v>
      </c>
      <c r="H30" s="108">
        <v>0</v>
      </c>
      <c r="I30" s="83">
        <f t="shared" ref="I30:I41" si="17">F30+G30</f>
        <v>0</v>
      </c>
    </row>
    <row r="31" spans="1:9" x14ac:dyDescent="0.25">
      <c r="A31" s="144">
        <v>31</v>
      </c>
      <c r="B31" s="145"/>
      <c r="C31" s="146"/>
      <c r="D31" s="26" t="s">
        <v>10</v>
      </c>
      <c r="E31" s="83">
        <f>206.73/7.5345</f>
        <v>27.437786183555641</v>
      </c>
      <c r="F31" s="84">
        <v>0</v>
      </c>
      <c r="G31" s="84">
        <v>0</v>
      </c>
      <c r="H31" s="108">
        <v>0</v>
      </c>
      <c r="I31" s="83">
        <f t="shared" si="17"/>
        <v>0</v>
      </c>
    </row>
    <row r="32" spans="1:9" x14ac:dyDescent="0.25">
      <c r="A32" s="144">
        <v>32</v>
      </c>
      <c r="B32" s="145"/>
      <c r="C32" s="146"/>
      <c r="D32" s="26" t="s">
        <v>22</v>
      </c>
      <c r="E32" s="83">
        <f>1145.65/7.5345</f>
        <v>152.05388546021635</v>
      </c>
      <c r="F32" s="84">
        <v>0</v>
      </c>
      <c r="G32" s="84">
        <v>0</v>
      </c>
      <c r="H32" s="108">
        <v>0</v>
      </c>
      <c r="I32" s="83">
        <f t="shared" si="17"/>
        <v>0</v>
      </c>
    </row>
    <row r="33" spans="1:9" ht="25.5" x14ac:dyDescent="0.25">
      <c r="A33" s="147">
        <v>4</v>
      </c>
      <c r="B33" s="148"/>
      <c r="C33" s="149"/>
      <c r="D33" s="26" t="s">
        <v>11</v>
      </c>
      <c r="E33" s="83">
        <f>E34</f>
        <v>56.972592740062375</v>
      </c>
      <c r="F33" s="83">
        <f t="shared" ref="F33:G33" si="18">F34</f>
        <v>0</v>
      </c>
      <c r="G33" s="83">
        <f t="shared" si="18"/>
        <v>0</v>
      </c>
      <c r="H33" s="108">
        <v>0</v>
      </c>
      <c r="I33" s="83">
        <f t="shared" si="17"/>
        <v>0</v>
      </c>
    </row>
    <row r="34" spans="1:9" ht="25.5" x14ac:dyDescent="0.25">
      <c r="A34" s="144">
        <v>42</v>
      </c>
      <c r="B34" s="145"/>
      <c r="C34" s="146"/>
      <c r="D34" s="26" t="s">
        <v>29</v>
      </c>
      <c r="E34" s="83">
        <f>429.26/7.5345</f>
        <v>56.972592740062375</v>
      </c>
      <c r="F34" s="84">
        <v>0</v>
      </c>
      <c r="G34" s="84">
        <v>0</v>
      </c>
      <c r="H34" s="108">
        <v>0</v>
      </c>
      <c r="I34" s="83">
        <f t="shared" si="17"/>
        <v>0</v>
      </c>
    </row>
    <row r="35" spans="1:9" x14ac:dyDescent="0.25">
      <c r="A35" s="141" t="s">
        <v>101</v>
      </c>
      <c r="B35" s="142"/>
      <c r="C35" s="143"/>
      <c r="D35" s="33" t="s">
        <v>102</v>
      </c>
      <c r="E35" s="83">
        <f>E36</f>
        <v>322.84424978432537</v>
      </c>
      <c r="F35" s="83">
        <f t="shared" ref="F35:G36" si="19">F36</f>
        <v>0</v>
      </c>
      <c r="G35" s="83">
        <f t="shared" si="19"/>
        <v>0</v>
      </c>
      <c r="H35" s="108">
        <v>0</v>
      </c>
      <c r="I35" s="83">
        <f t="shared" si="17"/>
        <v>0</v>
      </c>
    </row>
    <row r="36" spans="1:9" ht="25.5" x14ac:dyDescent="0.25">
      <c r="A36" s="147">
        <v>4</v>
      </c>
      <c r="B36" s="148"/>
      <c r="C36" s="149"/>
      <c r="D36" s="26" t="s">
        <v>11</v>
      </c>
      <c r="E36" s="83">
        <f>E37</f>
        <v>322.84424978432537</v>
      </c>
      <c r="F36" s="83">
        <f t="shared" si="19"/>
        <v>0</v>
      </c>
      <c r="G36" s="83">
        <f t="shared" si="19"/>
        <v>0</v>
      </c>
      <c r="H36" s="108">
        <v>0</v>
      </c>
      <c r="I36" s="83">
        <f t="shared" si="17"/>
        <v>0</v>
      </c>
    </row>
    <row r="37" spans="1:9" ht="25.5" x14ac:dyDescent="0.25">
      <c r="A37" s="144">
        <v>42</v>
      </c>
      <c r="B37" s="145"/>
      <c r="C37" s="146"/>
      <c r="D37" s="26" t="s">
        <v>29</v>
      </c>
      <c r="E37" s="83">
        <f>2432.47/7.5345</f>
        <v>322.84424978432537</v>
      </c>
      <c r="F37" s="84">
        <v>0</v>
      </c>
      <c r="G37" s="84">
        <v>0</v>
      </c>
      <c r="H37" s="108">
        <v>0</v>
      </c>
      <c r="I37" s="83">
        <f t="shared" si="17"/>
        <v>0</v>
      </c>
    </row>
    <row r="38" spans="1:9" ht="25.5" x14ac:dyDescent="0.25">
      <c r="A38" s="141" t="s">
        <v>103</v>
      </c>
      <c r="B38" s="142"/>
      <c r="C38" s="143"/>
      <c r="D38" s="33" t="s">
        <v>104</v>
      </c>
      <c r="E38" s="83">
        <f>E39</f>
        <v>1017.1172606012342</v>
      </c>
      <c r="F38" s="83">
        <f t="shared" ref="F38:G38" si="20">F39</f>
        <v>0</v>
      </c>
      <c r="G38" s="83">
        <f t="shared" si="20"/>
        <v>0</v>
      </c>
      <c r="H38" s="108">
        <v>0</v>
      </c>
      <c r="I38" s="83">
        <f t="shared" si="17"/>
        <v>0</v>
      </c>
    </row>
    <row r="39" spans="1:9" x14ac:dyDescent="0.25">
      <c r="A39" s="147">
        <v>3</v>
      </c>
      <c r="B39" s="148"/>
      <c r="C39" s="149"/>
      <c r="D39" s="26" t="s">
        <v>9</v>
      </c>
      <c r="E39" s="83">
        <f>SUM(E40:E41)</f>
        <v>1017.1172606012342</v>
      </c>
      <c r="F39" s="83">
        <f t="shared" ref="F39" si="21">SUM(F40:F41)</f>
        <v>0</v>
      </c>
      <c r="G39" s="83">
        <f t="shared" ref="G39" si="22">SUM(G40:G41)</f>
        <v>0</v>
      </c>
      <c r="H39" s="108">
        <v>0</v>
      </c>
      <c r="I39" s="83">
        <f t="shared" si="17"/>
        <v>0</v>
      </c>
    </row>
    <row r="40" spans="1:9" x14ac:dyDescent="0.25">
      <c r="A40" s="144">
        <v>31</v>
      </c>
      <c r="B40" s="145"/>
      <c r="C40" s="146"/>
      <c r="D40" s="26" t="s">
        <v>10</v>
      </c>
      <c r="E40" s="83">
        <f>1171.47/7.5345</f>
        <v>155.48078837348197</v>
      </c>
      <c r="F40" s="84">
        <v>0</v>
      </c>
      <c r="G40" s="84">
        <v>0</v>
      </c>
      <c r="H40" s="108">
        <v>0</v>
      </c>
      <c r="I40" s="83">
        <f t="shared" si="17"/>
        <v>0</v>
      </c>
    </row>
    <row r="41" spans="1:9" x14ac:dyDescent="0.25">
      <c r="A41" s="144">
        <v>32</v>
      </c>
      <c r="B41" s="145"/>
      <c r="C41" s="146"/>
      <c r="D41" s="26" t="s">
        <v>22</v>
      </c>
      <c r="E41" s="83">
        <f>6492/7.5345</f>
        <v>861.63647222775228</v>
      </c>
      <c r="F41" s="84">
        <v>0</v>
      </c>
      <c r="G41" s="84">
        <v>0</v>
      </c>
      <c r="H41" s="108">
        <v>0</v>
      </c>
      <c r="I41" s="83">
        <f t="shared" si="17"/>
        <v>0</v>
      </c>
    </row>
    <row r="42" spans="1:9" x14ac:dyDescent="0.25">
      <c r="A42" s="135" t="s">
        <v>105</v>
      </c>
      <c r="B42" s="136"/>
      <c r="C42" s="137"/>
      <c r="D42" s="27" t="s">
        <v>106</v>
      </c>
      <c r="E42" s="82">
        <f>E43+E48</f>
        <v>4680.4472758643569</v>
      </c>
      <c r="F42" s="82">
        <f t="shared" ref="F42:I42" si="23">F43+F48</f>
        <v>4937</v>
      </c>
      <c r="G42" s="82">
        <f t="shared" si="23"/>
        <v>-2080</v>
      </c>
      <c r="H42" s="90">
        <f>G42/F42</f>
        <v>-0.42130848693538586</v>
      </c>
      <c r="I42" s="82">
        <f t="shared" si="23"/>
        <v>2857</v>
      </c>
    </row>
    <row r="43" spans="1:9" ht="25.5" x14ac:dyDescent="0.25">
      <c r="A43" s="135" t="s">
        <v>107</v>
      </c>
      <c r="B43" s="136"/>
      <c r="C43" s="137"/>
      <c r="D43" s="27" t="s">
        <v>108</v>
      </c>
      <c r="E43" s="82">
        <f>E44</f>
        <v>3087.2121574092503</v>
      </c>
      <c r="F43" s="82">
        <f t="shared" ref="F43:I44" si="24">F44</f>
        <v>0</v>
      </c>
      <c r="G43" s="82">
        <f t="shared" si="24"/>
        <v>0</v>
      </c>
      <c r="H43" s="90">
        <f t="shared" si="24"/>
        <v>0</v>
      </c>
      <c r="I43" s="82">
        <f t="shared" si="24"/>
        <v>0</v>
      </c>
    </row>
    <row r="44" spans="1:9" x14ac:dyDescent="0.25">
      <c r="A44" s="141" t="s">
        <v>109</v>
      </c>
      <c r="B44" s="142"/>
      <c r="C44" s="143"/>
      <c r="D44" s="33" t="s">
        <v>110</v>
      </c>
      <c r="E44" s="83">
        <f>E45</f>
        <v>3087.2121574092503</v>
      </c>
      <c r="F44" s="83">
        <f t="shared" si="24"/>
        <v>0</v>
      </c>
      <c r="G44" s="83">
        <v>0</v>
      </c>
      <c r="H44" s="108">
        <v>0</v>
      </c>
      <c r="I44" s="83">
        <f>F44+G44</f>
        <v>0</v>
      </c>
    </row>
    <row r="45" spans="1:9" x14ac:dyDescent="0.25">
      <c r="A45" s="147">
        <v>3</v>
      </c>
      <c r="B45" s="148"/>
      <c r="C45" s="149"/>
      <c r="D45" s="26" t="s">
        <v>9</v>
      </c>
      <c r="E45" s="83">
        <f>SUM(E46:E47)</f>
        <v>3087.2121574092503</v>
      </c>
      <c r="F45" s="83">
        <f t="shared" ref="F45" si="25">SUM(F46:F47)</f>
        <v>0</v>
      </c>
      <c r="G45" s="83">
        <v>0</v>
      </c>
      <c r="H45" s="108">
        <v>0</v>
      </c>
      <c r="I45" s="83">
        <f t="shared" ref="I45:I47" si="26">F45+G45</f>
        <v>0</v>
      </c>
    </row>
    <row r="46" spans="1:9" x14ac:dyDescent="0.25">
      <c r="A46" s="144">
        <v>31</v>
      </c>
      <c r="B46" s="145"/>
      <c r="C46" s="146"/>
      <c r="D46" s="26" t="s">
        <v>10</v>
      </c>
      <c r="E46" s="83">
        <f>22105.1/7.5345</f>
        <v>2933.85095228615</v>
      </c>
      <c r="F46" s="84">
        <v>0</v>
      </c>
      <c r="G46" s="83">
        <v>0</v>
      </c>
      <c r="H46" s="108">
        <v>0</v>
      </c>
      <c r="I46" s="83">
        <f t="shared" si="26"/>
        <v>0</v>
      </c>
    </row>
    <row r="47" spans="1:9" x14ac:dyDescent="0.25">
      <c r="A47" s="144">
        <v>32</v>
      </c>
      <c r="B47" s="145"/>
      <c r="C47" s="146"/>
      <c r="D47" s="26" t="s">
        <v>22</v>
      </c>
      <c r="E47" s="83">
        <f>1155.5/7.5345</f>
        <v>153.3612051231004</v>
      </c>
      <c r="F47" s="84">
        <v>0</v>
      </c>
      <c r="G47" s="83">
        <v>0</v>
      </c>
      <c r="H47" s="108">
        <v>0</v>
      </c>
      <c r="I47" s="83">
        <f t="shared" si="26"/>
        <v>0</v>
      </c>
    </row>
    <row r="48" spans="1:9" ht="25.5" x14ac:dyDescent="0.25">
      <c r="A48" s="135" t="s">
        <v>107</v>
      </c>
      <c r="B48" s="136"/>
      <c r="C48" s="137"/>
      <c r="D48" s="27" t="s">
        <v>111</v>
      </c>
      <c r="E48" s="82">
        <f>E49</f>
        <v>1593.2351184551064</v>
      </c>
      <c r="F48" s="82">
        <f t="shared" ref="F48:I49" si="27">F49</f>
        <v>4937</v>
      </c>
      <c r="G48" s="82">
        <f t="shared" si="27"/>
        <v>-2080</v>
      </c>
      <c r="H48" s="90">
        <f t="shared" si="27"/>
        <v>-0.42130000000000001</v>
      </c>
      <c r="I48" s="82">
        <f t="shared" si="27"/>
        <v>2857</v>
      </c>
    </row>
    <row r="49" spans="1:9" x14ac:dyDescent="0.25">
      <c r="A49" s="141" t="s">
        <v>109</v>
      </c>
      <c r="B49" s="142"/>
      <c r="C49" s="143"/>
      <c r="D49" s="33" t="s">
        <v>110</v>
      </c>
      <c r="E49" s="83">
        <f>E50</f>
        <v>1593.2351184551064</v>
      </c>
      <c r="F49" s="83">
        <f t="shared" si="27"/>
        <v>4937</v>
      </c>
      <c r="G49" s="83">
        <f t="shared" si="27"/>
        <v>-2080</v>
      </c>
      <c r="H49" s="108">
        <v>-0.42130000000000001</v>
      </c>
      <c r="I49" s="83">
        <f>F49+G49</f>
        <v>2857</v>
      </c>
    </row>
    <row r="50" spans="1:9" x14ac:dyDescent="0.25">
      <c r="A50" s="147">
        <v>3</v>
      </c>
      <c r="B50" s="148"/>
      <c r="C50" s="149"/>
      <c r="D50" s="26" t="s">
        <v>9</v>
      </c>
      <c r="E50" s="83">
        <f>SUM(E51:E52)</f>
        <v>1593.2351184551064</v>
      </c>
      <c r="F50" s="83">
        <f t="shared" ref="F50:G50" si="28">SUM(F51:F52)</f>
        <v>4937</v>
      </c>
      <c r="G50" s="83">
        <f t="shared" si="28"/>
        <v>-2080</v>
      </c>
      <c r="H50" s="108">
        <v>-0.42130000000000001</v>
      </c>
      <c r="I50" s="83">
        <f t="shared" ref="I50:I52" si="29">F50+G50</f>
        <v>2857</v>
      </c>
    </row>
    <row r="51" spans="1:9" x14ac:dyDescent="0.25">
      <c r="A51" s="144">
        <v>31</v>
      </c>
      <c r="B51" s="145"/>
      <c r="C51" s="146"/>
      <c r="D51" s="26" t="s">
        <v>10</v>
      </c>
      <c r="E51" s="83">
        <f>11440.49/7.5345</f>
        <v>1518.4139624394452</v>
      </c>
      <c r="F51" s="84">
        <v>4645</v>
      </c>
      <c r="G51" s="83">
        <v>-1915</v>
      </c>
      <c r="H51" s="108">
        <v>-0.41199999999999998</v>
      </c>
      <c r="I51" s="83">
        <f t="shared" si="29"/>
        <v>2730</v>
      </c>
    </row>
    <row r="52" spans="1:9" x14ac:dyDescent="0.25">
      <c r="A52" s="144">
        <v>32</v>
      </c>
      <c r="B52" s="145"/>
      <c r="C52" s="146"/>
      <c r="D52" s="26" t="s">
        <v>22</v>
      </c>
      <c r="E52" s="83">
        <f>563.74/7.5345</f>
        <v>74.821156015661288</v>
      </c>
      <c r="F52" s="84">
        <v>292</v>
      </c>
      <c r="G52" s="83">
        <v>-165</v>
      </c>
      <c r="H52" s="108">
        <v>-0.56510000000000005</v>
      </c>
      <c r="I52" s="83">
        <f t="shared" si="29"/>
        <v>127</v>
      </c>
    </row>
    <row r="55" spans="1:9" ht="15.75" x14ac:dyDescent="0.25">
      <c r="A55" s="104" t="s">
        <v>112</v>
      </c>
      <c r="I55" s="105" t="s">
        <v>113</v>
      </c>
    </row>
    <row r="56" spans="1:9" ht="15.75" x14ac:dyDescent="0.25">
      <c r="A56" s="104" t="s">
        <v>115</v>
      </c>
      <c r="I56" s="106" t="s">
        <v>114</v>
      </c>
    </row>
    <row r="57" spans="1:9" ht="15.75" x14ac:dyDescent="0.25">
      <c r="A57" s="104" t="s">
        <v>116</v>
      </c>
    </row>
  </sheetData>
  <mergeCells count="49">
    <mergeCell ref="A49:C49"/>
    <mergeCell ref="A50:C50"/>
    <mergeCell ref="A51:C51"/>
    <mergeCell ref="A52:C52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18:C18"/>
    <mergeCell ref="A12:C12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Margereta Stanic</cp:lastModifiedBy>
  <cp:lastPrinted>2023-12-21T09:59:04Z</cp:lastPrinted>
  <dcterms:created xsi:type="dcterms:W3CDTF">2022-08-12T12:51:27Z</dcterms:created>
  <dcterms:modified xsi:type="dcterms:W3CDTF">2023-12-21T10:01:23Z</dcterms:modified>
</cp:coreProperties>
</file>